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activeX/activeX1.xml" ContentType="application/vnd.ms-office.activeX+xml"/>
  <Override PartName="/xl/activeX/activeX1.bin" ContentType="application/vnd.ms-office.activeX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2.xml" ContentType="application/vnd.ms-office.activeX+xml"/>
  <Override PartName="/xl/activeX/activeX2.bin" ContentType="application/vnd.ms-office.activeX"/>
  <Override PartName="/xl/externalLinks/externalLink4.xml" ContentType="application/vnd.openxmlformats-officedocument.spreadsheetml.externalLink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Mason 2149\Rate Filing\General Rate Filing 06-15-2024\Non Confidential\"/>
    </mc:Choice>
  </mc:AlternateContent>
  <xr:revisionPtr revIDLastSave="0" documentId="13_ncr:1_{569F16BD-AE9D-423C-9FD0-C5956247EB94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Depr Summary" sheetId="1" r:id="rId1"/>
    <sheet name="FAR Dep Summary" sheetId="7" r:id="rId2"/>
    <sheet name="FAR 4.2024" sheetId="14" r:id="rId3"/>
    <sheet name="Additional Depreciation" sheetId="12" r:id="rId4"/>
    <sheet name="Depreciation" sheetId="4" r:id="rId5"/>
    <sheet name="24_BudgetedCapital" sheetId="17" r:id="rId6"/>
    <sheet name="Depreciation - Orig.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[2]Hidden!$P$11</definedName>
    <definedName name="__LYA10">[2]Hidden!$G$11</definedName>
    <definedName name="__LYA11">[2]Hidden!$F$11</definedName>
    <definedName name="__LYA12">[1]Hidden!$O$11</definedName>
    <definedName name="__LYA2">[2]Hidden!$O$11</definedName>
    <definedName name="__LYA3">[2]Hidden!$N$11</definedName>
    <definedName name="__LYA4">[2]Hidden!$M$11</definedName>
    <definedName name="__LYA5">[2]Hidden!$L$11</definedName>
    <definedName name="__LYA6">[2]Hidden!$K$11</definedName>
    <definedName name="__LYA7">[2]Hidden!$J$11</definedName>
    <definedName name="__LYA8">[2]Hidden!$I$11</definedName>
    <definedName name="__LYA9">[2]Hidden!$H$11</definedName>
    <definedName name="_ACT1" localSheetId="4">[3]Hidden!#REF!</definedName>
    <definedName name="_ACT1">[3]Hidden!#REF!</definedName>
    <definedName name="_ACT2" localSheetId="4">[3]Hidden!#REF!</definedName>
    <definedName name="_ACT2">[3]Hidden!#REF!</definedName>
    <definedName name="_ACT3" localSheetId="4">[3]Hidden!#REF!</definedName>
    <definedName name="_ACT3">[3]Hidden!#REF!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4" hidden="1">Depreciation!$A$10:$W$579</definedName>
    <definedName name="_xlnm._FilterDatabase" localSheetId="2" hidden="1">'FAR 4.2024'!$B$16:$AX$632</definedName>
    <definedName name="_LYA1">[2]Hidden!$P$11</definedName>
    <definedName name="_LYA10">[2]Hidden!$G$11</definedName>
    <definedName name="_LYA11">[2]Hidden!$F$11</definedName>
    <definedName name="_LYA12">[1]Hidden!$O$11</definedName>
    <definedName name="_LYA2">[2]Hidden!$O$11</definedName>
    <definedName name="_LYA3">[2]Hidden!$N$11</definedName>
    <definedName name="_LYA4">[2]Hidden!$M$11</definedName>
    <definedName name="_LYA5">[2]Hidden!$L$11</definedName>
    <definedName name="_LYA6">[2]Hidden!$K$11</definedName>
    <definedName name="_LYA7">[2]Hidden!$J$11</definedName>
    <definedName name="_LYA8">[2]Hidden!$I$11</definedName>
    <definedName name="_LYA9">[2]Hidden!$H$11</definedName>
    <definedName name="_res3">'[4]P&amp;L new LF'!#REF!</definedName>
    <definedName name="_res4">'[4]P&amp;L new LF'!#REF!</definedName>
    <definedName name="_res5">'[4]P&amp;L new LF'!#REF!</definedName>
    <definedName name="Accounts">#REF!</definedName>
    <definedName name="ACCT">[1]Hidden!$D$11</definedName>
    <definedName name="ACCT.ConsolSum">[1]Hidden!$Q$11</definedName>
    <definedName name="ACT_CUR" localSheetId="4">[3]Hidden!#REF!</definedName>
    <definedName name="ACT_CUR">[3]Hidden!#REF!</definedName>
    <definedName name="ACT_YTD" localSheetId="4">[3]Hidden!#REF!</definedName>
    <definedName name="ACT_YTD">[3]Hidden!#REF!</definedName>
    <definedName name="AmountCount" localSheetId="4">#REF!</definedName>
    <definedName name="AmountCount">#REF!</definedName>
    <definedName name="AmountFrom">#REF!</definedName>
    <definedName name="AmountTo">#REF!</definedName>
    <definedName name="AmountTotal" localSheetId="4">#REF!</definedName>
    <definedName name="AmountTotal">#REF!</definedName>
    <definedName name="BatchCode">[5]APQuery!$L$12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 localSheetId="4">#REF!</definedName>
    <definedName name="BREMAIR_COST_of_SERVICE_STUDY">#REF!</definedName>
    <definedName name="BUD_CUR" localSheetId="4">[3]Hidden!#REF!</definedName>
    <definedName name="BUD_CUR">[3]Hidden!#REF!</definedName>
    <definedName name="BUD_YTD" localSheetId="4">[3]Hidden!#REF!</definedName>
    <definedName name="BUD_YTD">[3]Hidden!#REF!</definedName>
    <definedName name="BudYrs_Limit">#REF!</definedName>
    <definedName name="CanCartTons">[7]CanCartTonsAllocate!$E$3</definedName>
    <definedName name="CheckTotals" localSheetId="4">#REF!</definedName>
    <definedName name="CheckTotals">#REF!</definedName>
    <definedName name="ClassCode">[5]APQuery!$L$13</definedName>
    <definedName name="CoCanTons">[8]Cust_Count1!$M$28</definedName>
    <definedName name="CoComYd">'[8]Gross Yardage Worksheet'!$L$16</definedName>
    <definedName name="CoCustCnt">#REF!</definedName>
    <definedName name="colgroup">[1]Orientation!$G$6</definedName>
    <definedName name="colsegment">[1]Orientation!$F$6</definedName>
    <definedName name="CoMultiYd">'[8]Gross Yardage Worksheet'!$L$31</definedName>
    <definedName name="Consideration">#REF!</definedName>
    <definedName name="ContainerTons">[7]ContainerTonsAllocation!$E$2</definedName>
    <definedName name="CoXtraYds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[9]ControlPanel!$Z$2:$Z$5</definedName>
    <definedName name="CtyCanTons">[8]Cust_Count1!$N$28</definedName>
    <definedName name="CtyComYd">'[8]Gross Yardage Worksheet'!$L$49</definedName>
    <definedName name="CtyCustCnt">#REF!</definedName>
    <definedName name="CtyMultiYd">'[8]Gross Yardage Worksheet'!$L$64</definedName>
    <definedName name="CtyXtraYds">#REF!</definedName>
    <definedName name="CurrentMonth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>#REF!</definedName>
    <definedName name="DateRange">#REF!</definedName>
    <definedName name="DateTo">#REF!</definedName>
    <definedName name="DEPT" localSheetId="4">[3]Hidden!#REF!</definedName>
    <definedName name="DEPT">[3]Hidden!#REF!</definedName>
    <definedName name="DetailBudYear">#REF!</definedName>
    <definedName name="DetailDistrict">#REF!</definedName>
    <definedName name="Dist">[10]Data!$E$3</definedName>
    <definedName name="District" localSheetId="4">'[11]Vashon BS'!#REF!</definedName>
    <definedName name="District">'[11]Vashon BS'!#REF!</definedName>
    <definedName name="DistrictNum" localSheetId="4">#REF!</definedName>
    <definedName name="DistrictNum">#REF!</definedName>
    <definedName name="Districts">#REF!</definedName>
    <definedName name="drlFilter">[1]Settings!$D$27</definedName>
    <definedName name="End" localSheetId="4">#REF!</definedName>
    <definedName name="End">#REF!</definedName>
    <definedName name="EntrieShownLimit">#REF!</definedName>
    <definedName name="ExcludeIC" localSheetId="4">'[11]Vashon BS'!#REF!</definedName>
    <definedName name="ExcludeIC">'[11]Vashon BS'!#REF!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>#REF!</definedName>
    <definedName name="FundsApprPend">[10]Data!#REF!</definedName>
    <definedName name="FundsBudUnbud">[10]Data!#REF!</definedName>
    <definedName name="GLAccount">[5]APQuery!$L$11</definedName>
    <definedName name="GLMappingStart" localSheetId="4">#REF!</definedName>
    <definedName name="GLMappingStart">#REF!</definedName>
    <definedName name="GRETABLE">#REF!</definedName>
    <definedName name="Import_Range">[10]Data!#REF!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[10]Invoice_Drill!#REF!</definedName>
    <definedName name="InvoiceNumber">[5]APQuery!$I$12</definedName>
    <definedName name="InvoiceStatus">#REF!</definedName>
    <definedName name="JEDetail" localSheetId="4">#REF!</definedName>
    <definedName name="JEDetail">#REF!</definedName>
    <definedName name="JEType" localSheetId="4">#REF!</definedName>
    <definedName name="JEType">#REF!</definedName>
    <definedName name="Juris1CanCount">[7]Cust_Count1!$C$60</definedName>
    <definedName name="Juris1CanTons">[7]Cust_Count1!$C$30</definedName>
    <definedName name="Juris1ComYd">'[7]Gross Yardage Worksheet'!$L$16</definedName>
    <definedName name="Juris1CustCnt">[7]Cust_Count2!$E$39</definedName>
    <definedName name="Juris1MultiYd">'[7]Gross Yardage Worksheet'!$X$16</definedName>
    <definedName name="Juris1SeasonalYds">'[7]Gross Yardage Worksheet'!$R$18</definedName>
    <definedName name="Juris1XtraYds">[7]Cust_Count2!$E$28</definedName>
    <definedName name="Juris2CanCount">[7]Cust_Count1!$D$60</definedName>
    <definedName name="Juris2CanTons">[7]Cust_Count1!$D$30</definedName>
    <definedName name="Juris2ComYd">'[7]Gross Yardage Worksheet'!$L$33</definedName>
    <definedName name="Juris2CustCnt">[7]Cust_Count2!$F$39</definedName>
    <definedName name="Juris2MultiYd">'[7]Gross Yardage Worksheet'!$X$33</definedName>
    <definedName name="Juris2SeasonalYds">'[7]Gross Yardage Worksheet'!$R$35</definedName>
    <definedName name="Juris2XtraYds">[7]Cust_Count2!$F$28</definedName>
    <definedName name="Juris3CanCount">[7]Cust_Count1!$E$60</definedName>
    <definedName name="Juris3CanTons">[7]Cust_Count1!$E$30</definedName>
    <definedName name="Juris3ComYd">'[7]Gross Yardage Worksheet'!$L$51</definedName>
    <definedName name="Juris3CustCnt">[7]Cust_Count2!$G$39</definedName>
    <definedName name="Juris3MultiYd">'[7]Gross Yardage Worksheet'!$X$51</definedName>
    <definedName name="Juris3SeasonalYds">'[7]Gross Yardage Worksheet'!$R$53</definedName>
    <definedName name="Juris3XtraYds">[7]Cust_Count2!$G$28</definedName>
    <definedName name="Juris4CanCount">[7]Cust_Count1!$F$60</definedName>
    <definedName name="Juris4CanTons">[7]Cust_Count1!$F$30</definedName>
    <definedName name="Juris4ComYd">'[7]Gross Yardage Worksheet'!$L$68</definedName>
    <definedName name="Juris4CustCnt">[7]Cust_Count2!$H$39</definedName>
    <definedName name="Juris4MultiYd">'[7]Gross Yardage Worksheet'!$X$68</definedName>
    <definedName name="Juris4SeasonalYds">'[7]Gross Yardage Worksheet'!$R$70</definedName>
    <definedName name="Juris4XtraYds">[7]Cust_Count2!$H$28</definedName>
    <definedName name="Juris5CanCount">[7]Cust_Count1!$G$60</definedName>
    <definedName name="Juris5CanTons">[7]Cust_Count1!$G$30</definedName>
    <definedName name="Juris5ComYD">'[7]Gross Yardage Worksheet'!$L$85</definedName>
    <definedName name="Juris5CustCnt">[7]Cust_Count2!$I$39</definedName>
    <definedName name="Juris5MultiYd">'[7]Gross Yardage Worksheet'!$X$85</definedName>
    <definedName name="Juris5SeasonalYds">'[7]Gross Yardage Worksheet'!$R$87</definedName>
    <definedName name="Juris5XtraYds">[7]Cust_Count2!$I$28</definedName>
    <definedName name="Jurisdiction_1">'[7]Title Inputs'!$C$5</definedName>
    <definedName name="Jurisdiction_2">'[7]Title Inputs'!$C$6</definedName>
    <definedName name="Jurisdiction_3">'[7]Title Inputs'!$C$7</definedName>
    <definedName name="Jurisdiction_4">'[7]Title Inputs'!$C$8</definedName>
    <definedName name="Jurisdiction_5">'[7]Title Inputs'!$C$9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U_Line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emoAttachment" localSheetId="4">#REF!</definedName>
    <definedName name="MemoAttachment">#REF!</definedName>
    <definedName name="MetaSet">[1]Orientation!$C$22</definedName>
    <definedName name="MONTH1">'[12]The Dalles'!$G$19</definedName>
    <definedName name="MONTH2">'[12]The Dalles'!$G$20</definedName>
    <definedName name="MONTH3">'[12]The Dalles'!$G$21</definedName>
    <definedName name="MONTH4">'[12]The Dalles'!$G$22</definedName>
    <definedName name="MONTH5">'[12]The Dalles'!$G$23</definedName>
    <definedName name="MONTH6">'[12]The Dalles'!$G$24</definedName>
    <definedName name="MonthList">'[13]Lookup Tables'!$A$1:$A$13</definedName>
    <definedName name="monthlyplcf">#REF!</definedName>
    <definedName name="NewOnlyOrg">#N/A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[14]JEexport!$L$10</definedName>
    <definedName name="OffsetAcctPmt">[14]JEexport!$L$9</definedName>
    <definedName name="Org11_13">#N/A</definedName>
    <definedName name="Org7_10">#N/A</definedName>
    <definedName name="OthCanTons">[8]Cust_Count1!$O$28</definedName>
    <definedName name="OthComYd">'[8]Gross Yardage Worksheet'!$L$82</definedName>
    <definedName name="OthCustCnt">#REF!</definedName>
    <definedName name="OthMultiYd">'[8]Gross Yardage Worksheet'!$L$98</definedName>
    <definedName name="OthXtraYds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eqNum">[5]APQuery!$I$11</definedName>
    <definedName name="Posting">#REF!</definedName>
    <definedName name="primtbl">[1]Orientation!$C$23</definedName>
    <definedName name="_xlnm.Print_Area" localSheetId="4">Depreciation!$C$1:$U$520</definedName>
    <definedName name="_xlnm.Print_Area" localSheetId="6">'Depreciation - Orig.'!$B$1:$AC$504</definedName>
    <definedName name="_xlnm.Print_Area">#REF!</definedName>
    <definedName name="Print_Area_MI" localSheetId="4">Depreciation!$D$1:$U$122</definedName>
    <definedName name="Print_Area_MI" localSheetId="6">'Depreciation - Orig.'!$C$1:$AC$101</definedName>
    <definedName name="Print_Area_MI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4">Depreciation!$1:$10</definedName>
    <definedName name="_xlnm.Print_Titles" localSheetId="6">'Depreciation - Orig.'!$1:$10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Formula">#REF!</definedName>
    <definedName name="Reporting_Jurisdiction">'[7]Title Inputs'!$C$4</definedName>
    <definedName name="ReportNames">[15]ControlPanel!$S$2:$S$16</definedName>
    <definedName name="ReportVersion">[1]Settings!$D$5</definedName>
    <definedName name="RetainedEarnings" localSheetId="4">#REF!</definedName>
    <definedName name="RetainedEarnings">#REF!</definedName>
    <definedName name="RevCust" localSheetId="4">[16]RevenuesCust!#REF!</definedName>
    <definedName name="RevCust">[16]RevenuesCust!#REF!</definedName>
    <definedName name="rngBodyText">[2]Delivery!$B$15</definedName>
    <definedName name="RngBottomRight">[2]Delivery!$B$23</definedName>
    <definedName name="rngColDelChars">[2]Delivery!$B$26</definedName>
    <definedName name="rngColumnDelete">[2]Delivery!$B$26</definedName>
    <definedName name="rngCreateLog">[1]Delivery!$B$12</definedName>
    <definedName name="rngDeleteColumns">[2]Delivery!$A$29:$A$38</definedName>
    <definedName name="rngDeleteRows">[2]Delivery!$B$29:$B$38</definedName>
    <definedName name="rngEmail">[2]Delivery!$B$9</definedName>
    <definedName name="rngFileDir">[2]Delivery!$B$6</definedName>
    <definedName name="rngFileFormat">[2]Delivery!$B$4</definedName>
    <definedName name="rngFileName">[2]Delivery!$B$5</definedName>
    <definedName name="rngFilePassword">[1]Delivery!$B$6</definedName>
    <definedName name="rngPassword">[2]Delivery!$B$21</definedName>
    <definedName name="rngPasswordProtect">[2]Delivery!$B$20</definedName>
    <definedName name="rngPrint">[2]Delivery!$B$11</definedName>
    <definedName name="rngRetainFormulas">[2]Delivery!$B$19</definedName>
    <definedName name="rngSaveFile">[2]Delivery!$B$10</definedName>
    <definedName name="rngSourceTab">[1]Delivery!$E$8</definedName>
    <definedName name="rngSubjectLine">[2]Delivery!$B$14</definedName>
    <definedName name="rngTabName">[2]Delivery!$B$18</definedName>
    <definedName name="rngTopLeft">[2]Delivery!$B$22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group">[1]Orientation!$C$17</definedName>
    <definedName name="rowsegment">[1]Orientation!$B$17</definedName>
    <definedName name="RptEmailAddress">[2]Delivery!$D$4:$D$1005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4">#REF!</definedName>
    <definedName name="sortcol">#REF!</definedName>
    <definedName name="sSRCDate" localSheetId="4">'[17]Feb''12 FAR Data'!#REF!</definedName>
    <definedName name="sSRCDate">'[17]Feb''12 FAR Data'!#REF!</definedName>
    <definedName name="SubSystem">#REF!</definedName>
    <definedName name="SubSystems">#REF!</definedName>
    <definedName name="SubtypeToTruckType">[18]TruckCenterReference!$C$35:$D$85</definedName>
    <definedName name="Supplemental_filter">[1]Settings!$C$31</definedName>
    <definedName name="SWDisposal">#N/A</definedName>
    <definedName name="System">[19]BS_Close!$V$8</definedName>
    <definedName name="Systems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capacity">[20]Capacity!$M$22</definedName>
    <definedName name="TotalYards">'[8]Gross Yardage Worksheet'!$N$101</definedName>
    <definedName name="TOTCONT">'[21]Sorted Master'!$K$5</definedName>
    <definedName name="TOTCRECCONT">'[21]Sorted Master'!$V$5</definedName>
    <definedName name="TOTCRECCUST">'[21]Sorted Master'!$V$7</definedName>
    <definedName name="TOTCRECDH">'[21]Sorted Master'!$V$3</definedName>
    <definedName name="TOTCRECREV">'[21]Sorted Master'!$V$6</definedName>
    <definedName name="TOTCRECTH">'[21]Sorted Master'!$V$4</definedName>
    <definedName name="TOTCUST">'[21]Sorted Master'!$K$7</definedName>
    <definedName name="TOTDBCONT">'[21]Sorted Master'!$AB$5</definedName>
    <definedName name="TOTDBCUST">'[21]Sorted Master'!$AB$7</definedName>
    <definedName name="TOTDBDH">'[21]Sorted Master'!$AB$3</definedName>
    <definedName name="TOTDBREV">'[21]Sorted Master'!$AB$6</definedName>
    <definedName name="TOTDBTH">'[21]Sorted Master'!$AB$4</definedName>
    <definedName name="TOTDEBCONT">'[21]Sorted Master'!$Y$5</definedName>
    <definedName name="TOTDEBCUST">'[21]Sorted Master'!$Y$7</definedName>
    <definedName name="TOTDEBDH">'[21]Sorted Master'!$Y$3</definedName>
    <definedName name="TOTDEBREV">'[21]Sorted Master'!$Y$6</definedName>
    <definedName name="TOTDEBTH">'[21]Sorted Master'!$Y$4</definedName>
    <definedName name="TOTDH">'[21]Sorted Master'!$K$3</definedName>
    <definedName name="TOTFELCONT">'[21]Sorted Master'!$P$5</definedName>
    <definedName name="TOTFELCUST">'[21]Sorted Master'!$P$7</definedName>
    <definedName name="TOTFELDH">'[21]Sorted Master'!$P$3</definedName>
    <definedName name="TOTFELREV">'[21]Sorted Master'!$P$6</definedName>
    <definedName name="TOTFELTH">'[21]Sorted Master'!$P$4</definedName>
    <definedName name="TOTRESCONT">'[21]Sorted Master'!$M$5</definedName>
    <definedName name="TOTRESCUST">'[21]Sorted Master'!$M$7</definedName>
    <definedName name="TOTRESDH">'[21]Sorted Master'!$M$3</definedName>
    <definedName name="TOTRESRCONT">'[21]Sorted Master'!$S$5</definedName>
    <definedName name="TOTRESRCUST">'[21]Sorted Master'!$S$7</definedName>
    <definedName name="TOTRESRDH">'[21]Sorted Master'!$S$3</definedName>
    <definedName name="TOTRESREV">'[21]Sorted Master'!$M$6</definedName>
    <definedName name="TOTRESRREV">'[21]Sorted Master'!$S$6</definedName>
    <definedName name="TOTRESRTH">'[21]Sorted Master'!$S$4</definedName>
    <definedName name="TOTRESTH">'[21]Sorted Master'!$M$4</definedName>
    <definedName name="TOTREV">'[21]Sorted Master'!$K$6</definedName>
    <definedName name="TOTTH">'[21]Sorted Master'!$K$4</definedName>
    <definedName name="Transactions" localSheetId="4">#REF!</definedName>
    <definedName name="Transactions">#REF!</definedName>
    <definedName name="UnformattedIS">#REF!</definedName>
    <definedName name="ValidFormats">[2]Delivery!$AA$4:$AA$10</definedName>
    <definedName name="VendorCode">[5]APQuery!$I$14</definedName>
    <definedName name="VendorName">[5]APQuery!$I$13</definedName>
    <definedName name="Waste_Connections__Inc.">'[4]P&amp;L new LF'!#REF!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4">[3]Hidden!#REF!</definedName>
    <definedName name="xtabin">[3]Hidden!#REF!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ear">'[5]Fuel Tracking'!$E$15</definedName>
    <definedName name="Year_of_Review">'[7]Title Inputs'!$C$3</definedName>
    <definedName name="yearlycf">#REF!</definedName>
    <definedName name="yearlypl">#REF!</definedName>
    <definedName name="YearMonth" localSheetId="4">'[11]Vashon BS'!#REF!</definedName>
    <definedName name="YearMonth">'[11]Vashon BS'!#REF!</definedName>
    <definedName name="YWMedWasteDisp">#N/A</definedName>
  </definedNames>
  <calcPr calcId="191029" iterate="1"/>
  <pivotCaches>
    <pivotCache cacheId="0" r:id="rId3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B17" i="1"/>
  <c r="Z29" i="1"/>
  <c r="W29" i="1"/>
  <c r="Y29" i="1" s="1"/>
  <c r="T29" i="1"/>
  <c r="V29" i="1"/>
  <c r="Q27" i="1"/>
  <c r="AI27" i="1" s="1"/>
  <c r="P27" i="1"/>
  <c r="AH27" i="1" s="1"/>
  <c r="N27" i="1"/>
  <c r="AF27" i="1" s="1"/>
  <c r="K27" i="1"/>
  <c r="AC27" i="1" s="1"/>
  <c r="O27" i="1"/>
  <c r="AG27" i="1" s="1"/>
  <c r="D46" i="12"/>
  <c r="O38" i="12"/>
  <c r="Z63" i="1"/>
  <c r="T63" i="1"/>
  <c r="V63" i="1" s="1"/>
  <c r="F48" i="12"/>
  <c r="G48" i="12" s="1"/>
  <c r="H48" i="12" s="1"/>
  <c r="M27" i="1" l="1"/>
  <c r="AE27" i="1" s="1"/>
  <c r="Y63" i="1"/>
  <c r="W63" i="1"/>
  <c r="L27" i="1" l="1"/>
  <c r="AD27" i="1" s="1"/>
  <c r="F51" i="7"/>
  <c r="E51" i="7"/>
  <c r="D51" i="7"/>
  <c r="C51" i="7"/>
  <c r="B51" i="7"/>
  <c r="Q31" i="1"/>
  <c r="P31" i="1"/>
  <c r="O31" i="1"/>
  <c r="N31" i="1"/>
  <c r="K31" i="1"/>
  <c r="M31" i="1" s="1"/>
  <c r="Q25" i="1"/>
  <c r="P25" i="1"/>
  <c r="O25" i="1"/>
  <c r="N25" i="1"/>
  <c r="K25" i="1"/>
  <c r="M25" i="1" s="1"/>
  <c r="Q23" i="1"/>
  <c r="P23" i="1"/>
  <c r="O23" i="1"/>
  <c r="N23" i="1"/>
  <c r="K23" i="1"/>
  <c r="Q21" i="1"/>
  <c r="P21" i="1"/>
  <c r="O21" i="1"/>
  <c r="N21" i="1"/>
  <c r="K21" i="1"/>
  <c r="M21" i="1" s="1"/>
  <c r="Q19" i="1"/>
  <c r="P19" i="1"/>
  <c r="O19" i="1"/>
  <c r="N19" i="1"/>
  <c r="K19" i="1"/>
  <c r="Q17" i="1"/>
  <c r="P17" i="1"/>
  <c r="O17" i="1"/>
  <c r="N17" i="1"/>
  <c r="K17" i="1"/>
  <c r="M17" i="1" s="1"/>
  <c r="Q15" i="1"/>
  <c r="P15" i="1"/>
  <c r="O15" i="1"/>
  <c r="N15" i="1"/>
  <c r="K15" i="1"/>
  <c r="M15" i="1" s="1"/>
  <c r="Q13" i="1"/>
  <c r="P13" i="1"/>
  <c r="O13" i="1"/>
  <c r="N13" i="1"/>
  <c r="K13" i="1"/>
  <c r="Q11" i="1"/>
  <c r="P11" i="1"/>
  <c r="O11" i="1"/>
  <c r="N11" i="1"/>
  <c r="K11" i="1"/>
  <c r="M11" i="1" s="1"/>
  <c r="Q9" i="1"/>
  <c r="P9" i="1"/>
  <c r="O9" i="1"/>
  <c r="N9" i="1"/>
  <c r="K9" i="1"/>
  <c r="T31" i="1"/>
  <c r="V31" i="1" s="1"/>
  <c r="T69" i="1"/>
  <c r="V69" i="1" s="1"/>
  <c r="T23" i="1"/>
  <c r="V23" i="1" s="1"/>
  <c r="F46" i="12"/>
  <c r="G46" i="12" s="1"/>
  <c r="H46" i="12" s="1"/>
  <c r="Z69" i="1" s="1"/>
  <c r="F44" i="12"/>
  <c r="G44" i="12" s="1"/>
  <c r="H44" i="12" s="1"/>
  <c r="F45" i="12"/>
  <c r="G45" i="12" s="1"/>
  <c r="H45" i="12" s="1"/>
  <c r="Z23" i="1" s="1"/>
  <c r="AE17" i="1" l="1"/>
  <c r="AH17" i="1"/>
  <c r="AI17" i="1"/>
  <c r="W23" i="1"/>
  <c r="W69" i="1"/>
  <c r="Y69" i="1"/>
  <c r="Y23" i="1"/>
  <c r="L25" i="1"/>
  <c r="L11" i="1"/>
  <c r="L17" i="1"/>
  <c r="L31" i="1"/>
  <c r="M13" i="1"/>
  <c r="L13" i="1" s="1"/>
  <c r="L21" i="1"/>
  <c r="L15" i="1"/>
  <c r="M23" i="1"/>
  <c r="L23" i="1" s="1"/>
  <c r="M19" i="1"/>
  <c r="L19" i="1" s="1"/>
  <c r="AF17" i="1"/>
  <c r="AG17" i="1"/>
  <c r="AC17" i="1"/>
  <c r="C17" i="1"/>
  <c r="B61" i="7"/>
  <c r="B62" i="7"/>
  <c r="AD17" i="1" l="1"/>
  <c r="X66" i="17" l="1"/>
  <c r="W66" i="17"/>
  <c r="U66" i="17"/>
  <c r="V67" i="17"/>
  <c r="S67" i="17"/>
  <c r="S66" i="17"/>
  <c r="U6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BG55" i="17"/>
  <c r="BE55" i="17"/>
  <c r="BD55" i="17"/>
  <c r="BC55" i="17"/>
  <c r="BF55" i="17" s="1"/>
  <c r="BA55" i="17"/>
  <c r="AY55" i="17"/>
  <c r="AW55" i="17"/>
  <c r="AT55" i="17"/>
  <c r="AR55" i="17"/>
  <c r="AS55" i="17" s="1"/>
  <c r="AF55" i="17"/>
  <c r="B55" i="17"/>
  <c r="A55" i="17" s="1"/>
  <c r="BG54" i="17"/>
  <c r="BA54" i="17"/>
  <c r="AY54" i="17"/>
  <c r="AW54" i="17"/>
  <c r="AT54" i="17"/>
  <c r="AR54" i="17"/>
  <c r="AV54" i="17" s="1"/>
  <c r="AF54" i="17"/>
  <c r="B54" i="17"/>
  <c r="A54" i="17"/>
  <c r="BG53" i="17"/>
  <c r="BE53" i="17"/>
  <c r="BD53" i="17"/>
  <c r="BC53" i="17"/>
  <c r="BF53" i="17" s="1"/>
  <c r="BA53" i="17"/>
  <c r="AZ53" i="17"/>
  <c r="AY53" i="17"/>
  <c r="AW53" i="17"/>
  <c r="AV53" i="17"/>
  <c r="AT53" i="17"/>
  <c r="AS53" i="17"/>
  <c r="AR53" i="17"/>
  <c r="AF53" i="17"/>
  <c r="B53" i="17"/>
  <c r="A53" i="17" s="1"/>
  <c r="BG52" i="17"/>
  <c r="BE52" i="17"/>
  <c r="BD52" i="17"/>
  <c r="BC52" i="17"/>
  <c r="BF52" i="17" s="1"/>
  <c r="BA52" i="17"/>
  <c r="AY52" i="17"/>
  <c r="AW52" i="17"/>
  <c r="AT52" i="17"/>
  <c r="AR52" i="17"/>
  <c r="AS52" i="17" s="1"/>
  <c r="AF52" i="17"/>
  <c r="B52" i="17"/>
  <c r="A52" i="17"/>
  <c r="BG51" i="17"/>
  <c r="BA51" i="17"/>
  <c r="AY51" i="17"/>
  <c r="AW51" i="17"/>
  <c r="AT51" i="17"/>
  <c r="AS51" i="17"/>
  <c r="AR51" i="17"/>
  <c r="AV51" i="17" s="1"/>
  <c r="AF51" i="17"/>
  <c r="B51" i="17"/>
  <c r="A51" i="17"/>
  <c r="BG50" i="17"/>
  <c r="BE50" i="17"/>
  <c r="BD50" i="17"/>
  <c r="BC50" i="17"/>
  <c r="BF50" i="17" s="1"/>
  <c r="BA50" i="17"/>
  <c r="AZ50" i="17"/>
  <c r="AY50" i="17"/>
  <c r="AW50" i="17"/>
  <c r="AV50" i="17"/>
  <c r="AT50" i="17"/>
  <c r="AS50" i="17"/>
  <c r="AR50" i="17"/>
  <c r="AF50" i="17"/>
  <c r="B50" i="17"/>
  <c r="A50" i="17"/>
  <c r="BG49" i="17"/>
  <c r="BE49" i="17"/>
  <c r="BD49" i="17"/>
  <c r="BC49" i="17"/>
  <c r="BF49" i="17" s="1"/>
  <c r="BA49" i="17"/>
  <c r="AY49" i="17"/>
  <c r="AW49" i="17"/>
  <c r="AT49" i="17"/>
  <c r="AR49" i="17"/>
  <c r="AS49" i="17" s="1"/>
  <c r="AF49" i="17"/>
  <c r="B49" i="17"/>
  <c r="A49" i="17"/>
  <c r="BG48" i="17"/>
  <c r="BA48" i="17"/>
  <c r="AY48" i="17"/>
  <c r="AW48" i="17"/>
  <c r="AT48" i="17"/>
  <c r="AR48" i="17"/>
  <c r="AV48" i="17" s="1"/>
  <c r="AF48" i="17"/>
  <c r="B48" i="17"/>
  <c r="A48" i="17"/>
  <c r="BG47" i="17"/>
  <c r="BE47" i="17"/>
  <c r="BD47" i="17"/>
  <c r="BC47" i="17"/>
  <c r="BF47" i="17" s="1"/>
  <c r="BA47" i="17"/>
  <c r="AZ47" i="17"/>
  <c r="AY47" i="17"/>
  <c r="AW47" i="17"/>
  <c r="AV47" i="17"/>
  <c r="AT47" i="17"/>
  <c r="AS47" i="17"/>
  <c r="AR47" i="17"/>
  <c r="AF47" i="17"/>
  <c r="B47" i="17"/>
  <c r="A47" i="17"/>
  <c r="BG46" i="17"/>
  <c r="BE46" i="17"/>
  <c r="BD46" i="17"/>
  <c r="BC46" i="17"/>
  <c r="BF46" i="17" s="1"/>
  <c r="BA46" i="17"/>
  <c r="AY46" i="17"/>
  <c r="AW46" i="17"/>
  <c r="AT46" i="17"/>
  <c r="AR46" i="17"/>
  <c r="AS46" i="17" s="1"/>
  <c r="AF46" i="17"/>
  <c r="B46" i="17"/>
  <c r="A46" i="17"/>
  <c r="BG45" i="17"/>
  <c r="BA45" i="17"/>
  <c r="AY45" i="17"/>
  <c r="AW45" i="17"/>
  <c r="AT45" i="17"/>
  <c r="AR45" i="17"/>
  <c r="AV45" i="17" s="1"/>
  <c r="AF45" i="17"/>
  <c r="B45" i="17"/>
  <c r="A45" i="17"/>
  <c r="BG44" i="17"/>
  <c r="BE44" i="17"/>
  <c r="BD44" i="17"/>
  <c r="BC44" i="17"/>
  <c r="BF44" i="17" s="1"/>
  <c r="BA44" i="17"/>
  <c r="AZ44" i="17"/>
  <c r="AY44" i="17"/>
  <c r="AW44" i="17"/>
  <c r="AV44" i="17"/>
  <c r="AT44" i="17"/>
  <c r="AS44" i="17"/>
  <c r="AR44" i="17"/>
  <c r="AF44" i="17"/>
  <c r="B44" i="17"/>
  <c r="A44" i="17"/>
  <c r="BG43" i="17"/>
  <c r="BE43" i="17"/>
  <c r="BD43" i="17"/>
  <c r="BC43" i="17"/>
  <c r="BF43" i="17" s="1"/>
  <c r="BA43" i="17"/>
  <c r="AY43" i="17"/>
  <c r="AW43" i="17"/>
  <c r="AT43" i="17"/>
  <c r="AR43" i="17"/>
  <c r="AZ43" i="17" s="1"/>
  <c r="AF43" i="17"/>
  <c r="B43" i="17"/>
  <c r="A43" i="17"/>
  <c r="BG42" i="17"/>
  <c r="BA42" i="17"/>
  <c r="AY42" i="17"/>
  <c r="AW42" i="17"/>
  <c r="AT42" i="17"/>
  <c r="AR42" i="17"/>
  <c r="AV42" i="17" s="1"/>
  <c r="AF42" i="17"/>
  <c r="B42" i="17"/>
  <c r="A42" i="17"/>
  <c r="BG41" i="17"/>
  <c r="BE41" i="17"/>
  <c r="BD41" i="17"/>
  <c r="BC41" i="17"/>
  <c r="BF41" i="17" s="1"/>
  <c r="BA41" i="17"/>
  <c r="AZ41" i="17"/>
  <c r="AY41" i="17"/>
  <c r="AW41" i="17"/>
  <c r="AV41" i="17"/>
  <c r="AT41" i="17"/>
  <c r="AS41" i="17"/>
  <c r="AR41" i="17"/>
  <c r="AF41" i="17"/>
  <c r="B41" i="17"/>
  <c r="A41" i="17"/>
  <c r="BG40" i="17"/>
  <c r="BE40" i="17"/>
  <c r="BD40" i="17"/>
  <c r="BC40" i="17"/>
  <c r="BF40" i="17" s="1"/>
  <c r="BA40" i="17"/>
  <c r="AY40" i="17"/>
  <c r="AW40" i="17"/>
  <c r="AT40" i="17"/>
  <c r="AR40" i="17"/>
  <c r="AS40" i="17" s="1"/>
  <c r="AF40" i="17"/>
  <c r="B40" i="17"/>
  <c r="A40" i="17"/>
  <c r="BG39" i="17"/>
  <c r="BA39" i="17"/>
  <c r="AY39" i="17"/>
  <c r="AW39" i="17"/>
  <c r="AT39" i="17"/>
  <c r="AR39" i="17"/>
  <c r="AV39" i="17" s="1"/>
  <c r="AF39" i="17"/>
  <c r="B39" i="17"/>
  <c r="A39" i="17"/>
  <c r="BG38" i="17"/>
  <c r="BE38" i="17"/>
  <c r="BD38" i="17"/>
  <c r="BC38" i="17"/>
  <c r="BF38" i="17" s="1"/>
  <c r="BA38" i="17"/>
  <c r="AZ38" i="17"/>
  <c r="AY38" i="17"/>
  <c r="AW38" i="17"/>
  <c r="AV38" i="17"/>
  <c r="AT38" i="17"/>
  <c r="AS38" i="17"/>
  <c r="AR38" i="17"/>
  <c r="AF38" i="17"/>
  <c r="B38" i="17"/>
  <c r="A38" i="17"/>
  <c r="BG37" i="17"/>
  <c r="BE37" i="17"/>
  <c r="BD37" i="17"/>
  <c r="BC37" i="17"/>
  <c r="BF37" i="17" s="1"/>
  <c r="BA37" i="17"/>
  <c r="AY37" i="17"/>
  <c r="AW37" i="17"/>
  <c r="AT37" i="17"/>
  <c r="AR37" i="17"/>
  <c r="AZ37" i="17" s="1"/>
  <c r="AF37" i="17"/>
  <c r="B37" i="17"/>
  <c r="A37" i="17"/>
  <c r="BG36" i="17"/>
  <c r="BA36" i="17"/>
  <c r="AY36" i="17"/>
  <c r="AW36" i="17"/>
  <c r="AT36" i="17"/>
  <c r="AR36" i="17"/>
  <c r="AV36" i="17" s="1"/>
  <c r="AF36" i="17"/>
  <c r="B36" i="17"/>
  <c r="A36" i="17"/>
  <c r="BG35" i="17"/>
  <c r="BE35" i="17"/>
  <c r="BD35" i="17"/>
  <c r="BC35" i="17"/>
  <c r="BF35" i="17" s="1"/>
  <c r="BA35" i="17"/>
  <c r="AZ35" i="17"/>
  <c r="AY35" i="17"/>
  <c r="AW35" i="17"/>
  <c r="AV35" i="17"/>
  <c r="AT35" i="17"/>
  <c r="AS35" i="17"/>
  <c r="AR35" i="17"/>
  <c r="AF35" i="17"/>
  <c r="B35" i="17"/>
  <c r="A35" i="17"/>
  <c r="BE34" i="17"/>
  <c r="BD34" i="17"/>
  <c r="BC34" i="17"/>
  <c r="BF34" i="17" s="1"/>
  <c r="BG34" i="17" s="1"/>
  <c r="AY34" i="17"/>
  <c r="AR34" i="17"/>
  <c r="AZ34" i="17" s="1"/>
  <c r="AF34" i="17"/>
  <c r="B34" i="17"/>
  <c r="A34" i="17"/>
  <c r="AY33" i="17"/>
  <c r="AR33" i="17"/>
  <c r="AV33" i="17" s="1"/>
  <c r="AW33" i="17" s="1"/>
  <c r="AF33" i="17"/>
  <c r="B33" i="17"/>
  <c r="A33" i="17"/>
  <c r="BE32" i="17"/>
  <c r="BD32" i="17"/>
  <c r="BC32" i="17"/>
  <c r="BF32" i="17" s="1"/>
  <c r="BG32" i="17" s="1"/>
  <c r="AZ32" i="17"/>
  <c r="AY32" i="17"/>
  <c r="BA32" i="17" s="1"/>
  <c r="AV32" i="17"/>
  <c r="AW32" i="17" s="1"/>
  <c r="AS32" i="17"/>
  <c r="AT32" i="17" s="1"/>
  <c r="AR32" i="17"/>
  <c r="AF32" i="17"/>
  <c r="B32" i="17"/>
  <c r="A32" i="17"/>
  <c r="BE31" i="17"/>
  <c r="BD31" i="17"/>
  <c r="BC31" i="17"/>
  <c r="BF31" i="17" s="1"/>
  <c r="BG31" i="17" s="1"/>
  <c r="AY31" i="17"/>
  <c r="AR31" i="17"/>
  <c r="AZ31" i="17" s="1"/>
  <c r="BA31" i="17" s="1"/>
  <c r="AF31" i="17"/>
  <c r="B31" i="17"/>
  <c r="A31" i="17"/>
  <c r="BG30" i="17"/>
  <c r="BA30" i="17"/>
  <c r="AY30" i="17"/>
  <c r="AW30" i="17"/>
  <c r="AT30" i="17"/>
  <c r="AR30" i="17"/>
  <c r="AV30" i="17" s="1"/>
  <c r="AF30" i="17"/>
  <c r="AF57" i="17" s="1"/>
  <c r="B30" i="17"/>
  <c r="A30" i="17"/>
  <c r="B18" i="17" s="1"/>
  <c r="B19" i="17" s="1"/>
  <c r="BG6" i="17"/>
  <c r="BC6" i="17"/>
  <c r="BF6" i="17" s="1"/>
  <c r="BA6" i="17"/>
  <c r="AY6" i="17"/>
  <c r="AW6" i="17"/>
  <c r="AV6" i="17"/>
  <c r="AT6" i="17"/>
  <c r="AS6" i="17"/>
  <c r="AR6" i="17"/>
  <c r="BE6" i="17" s="1"/>
  <c r="AF6" i="17"/>
  <c r="B6" i="17"/>
  <c r="A6" i="17" s="1"/>
  <c r="F13" i="17"/>
  <c r="M8" i="17"/>
  <c r="F11" i="17"/>
  <c r="M9" i="17"/>
  <c r="F9" i="17"/>
  <c r="F12" i="17"/>
  <c r="F15" i="17"/>
  <c r="BA34" i="17" l="1"/>
  <c r="X67" i="17"/>
  <c r="AZ6" i="17"/>
  <c r="AS30" i="17"/>
  <c r="AS34" i="17"/>
  <c r="AT34" i="17" s="1"/>
  <c r="AS43" i="17"/>
  <c r="AZ30" i="17"/>
  <c r="AZ36" i="17"/>
  <c r="AZ39" i="17"/>
  <c r="AZ42" i="17"/>
  <c r="AZ51" i="17"/>
  <c r="AZ54" i="17"/>
  <c r="BD6" i="17"/>
  <c r="AV31" i="17"/>
  <c r="AW31" i="17" s="1"/>
  <c r="AV34" i="17"/>
  <c r="AW34" i="17" s="1"/>
  <c r="AV37" i="17"/>
  <c r="AV40" i="17"/>
  <c r="AV43" i="17"/>
  <c r="AV46" i="17"/>
  <c r="AV49" i="17"/>
  <c r="AV52" i="17"/>
  <c r="AV55" i="17"/>
  <c r="AS33" i="17"/>
  <c r="AT33" i="17" s="1"/>
  <c r="AS45" i="17"/>
  <c r="AS37" i="17"/>
  <c r="AZ33" i="17"/>
  <c r="BA33" i="17" s="1"/>
  <c r="AZ45" i="17"/>
  <c r="AZ48" i="17"/>
  <c r="BC30" i="17"/>
  <c r="BF30" i="17" s="1"/>
  <c r="BC33" i="17"/>
  <c r="BF33" i="17" s="1"/>
  <c r="BG33" i="17" s="1"/>
  <c r="BC36" i="17"/>
  <c r="BF36" i="17" s="1"/>
  <c r="BC39" i="17"/>
  <c r="BF39" i="17" s="1"/>
  <c r="BC42" i="17"/>
  <c r="BF42" i="17" s="1"/>
  <c r="BC45" i="17"/>
  <c r="BF45" i="17" s="1"/>
  <c r="BC48" i="17"/>
  <c r="BF48" i="17" s="1"/>
  <c r="BC51" i="17"/>
  <c r="BF51" i="17" s="1"/>
  <c r="BC54" i="17"/>
  <c r="BF54" i="17" s="1"/>
  <c r="AS48" i="17"/>
  <c r="BD30" i="17"/>
  <c r="BD33" i="17"/>
  <c r="BD39" i="17"/>
  <c r="BD48" i="17"/>
  <c r="BD51" i="17"/>
  <c r="BD54" i="17"/>
  <c r="AS31" i="17"/>
  <c r="AT31" i="17" s="1"/>
  <c r="BD36" i="17"/>
  <c r="BD42" i="17"/>
  <c r="BD45" i="17"/>
  <c r="BE30" i="17"/>
  <c r="BE33" i="17"/>
  <c r="BE36" i="17"/>
  <c r="BE39" i="17"/>
  <c r="AZ40" i="17"/>
  <c r="BE42" i="17"/>
  <c r="BE45" i="17"/>
  <c r="AZ46" i="17"/>
  <c r="BE48" i="17"/>
  <c r="AZ49" i="17"/>
  <c r="BE51" i="17"/>
  <c r="AZ52" i="17"/>
  <c r="BE54" i="17"/>
  <c r="AZ55" i="17"/>
  <c r="AS42" i="17"/>
  <c r="AS54" i="17"/>
  <c r="AS36" i="17"/>
  <c r="AS39" i="17"/>
  <c r="F10" i="17"/>
  <c r="W67" i="17" l="1"/>
  <c r="C61" i="7" l="1"/>
  <c r="C62" i="7"/>
  <c r="Q69" i="1" l="1"/>
  <c r="P69" i="1"/>
  <c r="O69" i="1"/>
  <c r="N69" i="1"/>
  <c r="Q67" i="1"/>
  <c r="P67" i="1"/>
  <c r="O67" i="1"/>
  <c r="N67" i="1"/>
  <c r="Q65" i="1"/>
  <c r="P65" i="1"/>
  <c r="O65" i="1"/>
  <c r="N65" i="1"/>
  <c r="Q63" i="1"/>
  <c r="P63" i="1"/>
  <c r="O63" i="1"/>
  <c r="N63" i="1"/>
  <c r="Q57" i="1"/>
  <c r="P57" i="1"/>
  <c r="O57" i="1"/>
  <c r="N57" i="1"/>
  <c r="Q55" i="1"/>
  <c r="P55" i="1"/>
  <c r="O55" i="1"/>
  <c r="N55" i="1"/>
  <c r="Q53" i="1"/>
  <c r="P53" i="1"/>
  <c r="O53" i="1"/>
  <c r="N53" i="1"/>
  <c r="Q51" i="1"/>
  <c r="P51" i="1"/>
  <c r="O51" i="1"/>
  <c r="N51" i="1"/>
  <c r="Q49" i="1"/>
  <c r="P49" i="1"/>
  <c r="O49" i="1"/>
  <c r="N49" i="1"/>
  <c r="Q47" i="1"/>
  <c r="P47" i="1"/>
  <c r="O47" i="1"/>
  <c r="N47" i="1"/>
  <c r="O45" i="1"/>
  <c r="O43" i="1"/>
  <c r="Q41" i="1"/>
  <c r="P41" i="1"/>
  <c r="O41" i="1"/>
  <c r="N41" i="1"/>
  <c r="Q39" i="1"/>
  <c r="P39" i="1"/>
  <c r="O39" i="1"/>
  <c r="N39" i="1"/>
  <c r="Q37" i="1"/>
  <c r="P37" i="1"/>
  <c r="O37" i="1"/>
  <c r="N37" i="1"/>
  <c r="K69" i="1"/>
  <c r="K67" i="1"/>
  <c r="K65" i="1"/>
  <c r="K64" i="1"/>
  <c r="K63" i="1"/>
  <c r="K57" i="1"/>
  <c r="K55" i="1"/>
  <c r="K53" i="1"/>
  <c r="K51" i="1"/>
  <c r="K49" i="1"/>
  <c r="K47" i="1"/>
  <c r="K41" i="1"/>
  <c r="K39" i="1"/>
  <c r="K37" i="1"/>
  <c r="K45" i="1"/>
  <c r="V13" i="14"/>
  <c r="V12" i="14"/>
  <c r="V14" i="14"/>
  <c r="AR167" i="14"/>
  <c r="AS167" i="14" s="1"/>
  <c r="AO167" i="14"/>
  <c r="AP167" i="14" s="1"/>
  <c r="AN167" i="14"/>
  <c r="AR166" i="14"/>
  <c r="AS166" i="14" s="1"/>
  <c r="AO166" i="14"/>
  <c r="AP166" i="14" s="1"/>
  <c r="AN166" i="14"/>
  <c r="AR165" i="14"/>
  <c r="AS165" i="14" s="1"/>
  <c r="AO165" i="14"/>
  <c r="AP165" i="14" s="1"/>
  <c r="AN165" i="14"/>
  <c r="AR164" i="14"/>
  <c r="AS164" i="14" s="1"/>
  <c r="AO164" i="14"/>
  <c r="AP164" i="14" s="1"/>
  <c r="AN164" i="14"/>
  <c r="AR163" i="14"/>
  <c r="AS163" i="14" s="1"/>
  <c r="AO163" i="14"/>
  <c r="AP163" i="14" s="1"/>
  <c r="AN163" i="14"/>
  <c r="AR162" i="14"/>
  <c r="AS162" i="14" s="1"/>
  <c r="AO162" i="14"/>
  <c r="AP162" i="14" s="1"/>
  <c r="AN162" i="14"/>
  <c r="AR161" i="14"/>
  <c r="AS161" i="14" s="1"/>
  <c r="AO161" i="14"/>
  <c r="AP161" i="14" s="1"/>
  <c r="AN161" i="14"/>
  <c r="AR160" i="14"/>
  <c r="AS160" i="14" s="1"/>
  <c r="AO160" i="14"/>
  <c r="AP160" i="14" s="1"/>
  <c r="AN160" i="14"/>
  <c r="AR159" i="14"/>
  <c r="AS159" i="14" s="1"/>
  <c r="AO159" i="14"/>
  <c r="AP159" i="14" s="1"/>
  <c r="AN159" i="14"/>
  <c r="AR158" i="14"/>
  <c r="AS158" i="14" s="1"/>
  <c r="AO158" i="14"/>
  <c r="AP158" i="14" s="1"/>
  <c r="AN158" i="14"/>
  <c r="AR157" i="14"/>
  <c r="AS157" i="14" s="1"/>
  <c r="AO157" i="14"/>
  <c r="AP157" i="14" s="1"/>
  <c r="AN157" i="14"/>
  <c r="AR156" i="14"/>
  <c r="AS156" i="14" s="1"/>
  <c r="AO156" i="14"/>
  <c r="AP156" i="14" s="1"/>
  <c r="AN156" i="14"/>
  <c r="AR155" i="14"/>
  <c r="AS155" i="14" s="1"/>
  <c r="AO155" i="14"/>
  <c r="AP155" i="14" s="1"/>
  <c r="AN155" i="14"/>
  <c r="AR154" i="14"/>
  <c r="AS154" i="14" s="1"/>
  <c r="AO154" i="14"/>
  <c r="AP154" i="14" s="1"/>
  <c r="AN154" i="14"/>
  <c r="AR153" i="14"/>
  <c r="AS153" i="14" s="1"/>
  <c r="AO153" i="14"/>
  <c r="AP153" i="14" s="1"/>
  <c r="AN153" i="14"/>
  <c r="AR152" i="14"/>
  <c r="AS152" i="14" s="1"/>
  <c r="AO152" i="14"/>
  <c r="AP152" i="14" s="1"/>
  <c r="AN152" i="14"/>
  <c r="AR151" i="14"/>
  <c r="AS151" i="14" s="1"/>
  <c r="AO151" i="14"/>
  <c r="AP151" i="14" s="1"/>
  <c r="AN151" i="14"/>
  <c r="AR150" i="14"/>
  <c r="AS150" i="14" s="1"/>
  <c r="AO150" i="14"/>
  <c r="AP150" i="14" s="1"/>
  <c r="AN150" i="14"/>
  <c r="AR149" i="14"/>
  <c r="AS149" i="14" s="1"/>
  <c r="AO149" i="14"/>
  <c r="AP149" i="14" s="1"/>
  <c r="AN149" i="14"/>
  <c r="AR148" i="14"/>
  <c r="AS148" i="14" s="1"/>
  <c r="AO148" i="14"/>
  <c r="AP148" i="14" s="1"/>
  <c r="AN148" i="14"/>
  <c r="AR147" i="14"/>
  <c r="AS147" i="14" s="1"/>
  <c r="AO147" i="14"/>
  <c r="AP147" i="14" s="1"/>
  <c r="AN147" i="14"/>
  <c r="AR146" i="14"/>
  <c r="AS146" i="14" s="1"/>
  <c r="AO146" i="14"/>
  <c r="AP146" i="14" s="1"/>
  <c r="AN146" i="14"/>
  <c r="AR145" i="14"/>
  <c r="AS145" i="14" s="1"/>
  <c r="AO145" i="14"/>
  <c r="AP145" i="14" s="1"/>
  <c r="AN145" i="14"/>
  <c r="AR144" i="14"/>
  <c r="AS144" i="14" s="1"/>
  <c r="AO144" i="14"/>
  <c r="AP144" i="14" s="1"/>
  <c r="AN144" i="14"/>
  <c r="AR143" i="14"/>
  <c r="AS143" i="14" s="1"/>
  <c r="AO143" i="14"/>
  <c r="AP143" i="14" s="1"/>
  <c r="AN143" i="14"/>
  <c r="AR142" i="14"/>
  <c r="AS142" i="14" s="1"/>
  <c r="AO142" i="14"/>
  <c r="AP142" i="14" s="1"/>
  <c r="AN142" i="14"/>
  <c r="AR141" i="14"/>
  <c r="AS141" i="14" s="1"/>
  <c r="AO141" i="14"/>
  <c r="AP141" i="14" s="1"/>
  <c r="AN141" i="14"/>
  <c r="AR140" i="14"/>
  <c r="AS140" i="14" s="1"/>
  <c r="AO140" i="14"/>
  <c r="AP140" i="14" s="1"/>
  <c r="AN140" i="14"/>
  <c r="AR139" i="14"/>
  <c r="AS139" i="14" s="1"/>
  <c r="AO139" i="14"/>
  <c r="AP139" i="14" s="1"/>
  <c r="AN139" i="14"/>
  <c r="AR138" i="14"/>
  <c r="AS138" i="14" s="1"/>
  <c r="AO138" i="14"/>
  <c r="AP138" i="14" s="1"/>
  <c r="AN138" i="14"/>
  <c r="AR137" i="14"/>
  <c r="AS137" i="14" s="1"/>
  <c r="AO137" i="14"/>
  <c r="AP137" i="14" s="1"/>
  <c r="AN137" i="14"/>
  <c r="AR136" i="14"/>
  <c r="AS136" i="14" s="1"/>
  <c r="AO136" i="14"/>
  <c r="AP136" i="14" s="1"/>
  <c r="AN136" i="14"/>
  <c r="AR135" i="14"/>
  <c r="AS135" i="14" s="1"/>
  <c r="AO135" i="14"/>
  <c r="AP135" i="14" s="1"/>
  <c r="AN135" i="14"/>
  <c r="AR134" i="14"/>
  <c r="AS134" i="14" s="1"/>
  <c r="AO134" i="14"/>
  <c r="AP134" i="14" s="1"/>
  <c r="AN134" i="14"/>
  <c r="AR133" i="14"/>
  <c r="AS133" i="14" s="1"/>
  <c r="AO133" i="14"/>
  <c r="AP133" i="14" s="1"/>
  <c r="AN133" i="14"/>
  <c r="AR132" i="14"/>
  <c r="AS132" i="14" s="1"/>
  <c r="AO132" i="14"/>
  <c r="AP132" i="14" s="1"/>
  <c r="AN132" i="14"/>
  <c r="AR131" i="14"/>
  <c r="AS131" i="14" s="1"/>
  <c r="AO131" i="14"/>
  <c r="AP131" i="14" s="1"/>
  <c r="AN131" i="14"/>
  <c r="AR130" i="14"/>
  <c r="AS130" i="14" s="1"/>
  <c r="AO130" i="14"/>
  <c r="AP130" i="14" s="1"/>
  <c r="AN130" i="14"/>
  <c r="AR129" i="14"/>
  <c r="AS129" i="14" s="1"/>
  <c r="AO129" i="14"/>
  <c r="AP129" i="14" s="1"/>
  <c r="AN129" i="14"/>
  <c r="AR128" i="14"/>
  <c r="AS128" i="14" s="1"/>
  <c r="AO128" i="14"/>
  <c r="AP128" i="14" s="1"/>
  <c r="AN128" i="14"/>
  <c r="AR127" i="14"/>
  <c r="AS127" i="14" s="1"/>
  <c r="AO127" i="14"/>
  <c r="AP127" i="14" s="1"/>
  <c r="AN127" i="14"/>
  <c r="AR126" i="14"/>
  <c r="AS126" i="14" s="1"/>
  <c r="AO126" i="14"/>
  <c r="AP126" i="14" s="1"/>
  <c r="AN126" i="14"/>
  <c r="AR125" i="14"/>
  <c r="AS125" i="14" s="1"/>
  <c r="AO125" i="14"/>
  <c r="AP125" i="14" s="1"/>
  <c r="AN125" i="14"/>
  <c r="AR124" i="14"/>
  <c r="AS124" i="14" s="1"/>
  <c r="AO124" i="14"/>
  <c r="AP124" i="14" s="1"/>
  <c r="AN124" i="14"/>
  <c r="AR123" i="14"/>
  <c r="AS123" i="14" s="1"/>
  <c r="AO123" i="14"/>
  <c r="AP123" i="14" s="1"/>
  <c r="AN123" i="14"/>
  <c r="AR122" i="14"/>
  <c r="AS122" i="14" s="1"/>
  <c r="AO122" i="14"/>
  <c r="AP122" i="14" s="1"/>
  <c r="AN122" i="14"/>
  <c r="AR121" i="14"/>
  <c r="AS121" i="14" s="1"/>
  <c r="AO121" i="14"/>
  <c r="AP121" i="14" s="1"/>
  <c r="AN121" i="14"/>
  <c r="AR120" i="14"/>
  <c r="AS120" i="14" s="1"/>
  <c r="AO120" i="14"/>
  <c r="AP120" i="14" s="1"/>
  <c r="AN120" i="14"/>
  <c r="AR119" i="14"/>
  <c r="AS119" i="14" s="1"/>
  <c r="AO119" i="14"/>
  <c r="AP119" i="14" s="1"/>
  <c r="AN119" i="14"/>
  <c r="AR118" i="14"/>
  <c r="AS118" i="14" s="1"/>
  <c r="AO118" i="14"/>
  <c r="AP118" i="14" s="1"/>
  <c r="AN118" i="14"/>
  <c r="AR117" i="14"/>
  <c r="AS117" i="14" s="1"/>
  <c r="AO117" i="14"/>
  <c r="AP117" i="14" s="1"/>
  <c r="AN117" i="14"/>
  <c r="AR116" i="14"/>
  <c r="AS116" i="14" s="1"/>
  <c r="AO116" i="14"/>
  <c r="AP116" i="14" s="1"/>
  <c r="AN116" i="14"/>
  <c r="AR115" i="14"/>
  <c r="AS115" i="14" s="1"/>
  <c r="AO115" i="14"/>
  <c r="AP115" i="14" s="1"/>
  <c r="AN115" i="14"/>
  <c r="AR114" i="14"/>
  <c r="AS114" i="14" s="1"/>
  <c r="AO114" i="14"/>
  <c r="AP114" i="14" s="1"/>
  <c r="AN114" i="14"/>
  <c r="AR113" i="14"/>
  <c r="AS113" i="14" s="1"/>
  <c r="AO113" i="14"/>
  <c r="AP113" i="14" s="1"/>
  <c r="AN113" i="14"/>
  <c r="AR112" i="14"/>
  <c r="AS112" i="14" s="1"/>
  <c r="AO112" i="14"/>
  <c r="AP112" i="14" s="1"/>
  <c r="AN112" i="14"/>
  <c r="AR111" i="14"/>
  <c r="AS111" i="14" s="1"/>
  <c r="AO111" i="14"/>
  <c r="AP111" i="14" s="1"/>
  <c r="AN111" i="14"/>
  <c r="AR110" i="14"/>
  <c r="AS110" i="14" s="1"/>
  <c r="AO110" i="14"/>
  <c r="AP110" i="14" s="1"/>
  <c r="AN110" i="14"/>
  <c r="AR109" i="14"/>
  <c r="AS109" i="14" s="1"/>
  <c r="AO109" i="14"/>
  <c r="AP109" i="14" s="1"/>
  <c r="AN109" i="14"/>
  <c r="AR108" i="14"/>
  <c r="AS108" i="14" s="1"/>
  <c r="AO108" i="14"/>
  <c r="AP108" i="14" s="1"/>
  <c r="AN108" i="14"/>
  <c r="AR107" i="14"/>
  <c r="AS107" i="14" s="1"/>
  <c r="AO107" i="14"/>
  <c r="AP107" i="14" s="1"/>
  <c r="AN107" i="14"/>
  <c r="AR106" i="14"/>
  <c r="AS106" i="14" s="1"/>
  <c r="AO106" i="14"/>
  <c r="AP106" i="14" s="1"/>
  <c r="AN106" i="14"/>
  <c r="AR105" i="14"/>
  <c r="AS105" i="14" s="1"/>
  <c r="AO105" i="14"/>
  <c r="AP105" i="14" s="1"/>
  <c r="AN105" i="14"/>
  <c r="AR104" i="14"/>
  <c r="AS104" i="14" s="1"/>
  <c r="AO104" i="14"/>
  <c r="AP104" i="14" s="1"/>
  <c r="AN104" i="14"/>
  <c r="AR103" i="14"/>
  <c r="AS103" i="14" s="1"/>
  <c r="AO103" i="14"/>
  <c r="AP103" i="14" s="1"/>
  <c r="AN103" i="14"/>
  <c r="AR102" i="14"/>
  <c r="AS102" i="14" s="1"/>
  <c r="AO102" i="14"/>
  <c r="AP102" i="14" s="1"/>
  <c r="AN102" i="14"/>
  <c r="AR101" i="14"/>
  <c r="AS101" i="14" s="1"/>
  <c r="AO101" i="14"/>
  <c r="AP101" i="14" s="1"/>
  <c r="AN101" i="14"/>
  <c r="AR100" i="14"/>
  <c r="AS100" i="14" s="1"/>
  <c r="AO100" i="14"/>
  <c r="AP100" i="14" s="1"/>
  <c r="AN100" i="14"/>
  <c r="AR99" i="14"/>
  <c r="AS99" i="14" s="1"/>
  <c r="AO99" i="14"/>
  <c r="AP99" i="14" s="1"/>
  <c r="AN99" i="14"/>
  <c r="AR98" i="14"/>
  <c r="AS98" i="14" s="1"/>
  <c r="AO98" i="14"/>
  <c r="AP98" i="14" s="1"/>
  <c r="AN98" i="14"/>
  <c r="AR97" i="14"/>
  <c r="AS97" i="14" s="1"/>
  <c r="AO97" i="14"/>
  <c r="AP97" i="14" s="1"/>
  <c r="AN97" i="14"/>
  <c r="AR96" i="14"/>
  <c r="AS96" i="14" s="1"/>
  <c r="AO96" i="14"/>
  <c r="AP96" i="14" s="1"/>
  <c r="AN96" i="14"/>
  <c r="AR95" i="14"/>
  <c r="AS95" i="14" s="1"/>
  <c r="AO95" i="14"/>
  <c r="AP95" i="14" s="1"/>
  <c r="AN95" i="14"/>
  <c r="AR94" i="14"/>
  <c r="AS94" i="14" s="1"/>
  <c r="AO94" i="14"/>
  <c r="AP94" i="14" s="1"/>
  <c r="AN94" i="14"/>
  <c r="AR93" i="14"/>
  <c r="AS93" i="14" s="1"/>
  <c r="AO93" i="14"/>
  <c r="AP93" i="14" s="1"/>
  <c r="AN93" i="14"/>
  <c r="AR92" i="14"/>
  <c r="AS92" i="14" s="1"/>
  <c r="AO92" i="14"/>
  <c r="AP92" i="14" s="1"/>
  <c r="AN92" i="14"/>
  <c r="AR91" i="14"/>
  <c r="AS91" i="14" s="1"/>
  <c r="AO91" i="14"/>
  <c r="AP91" i="14" s="1"/>
  <c r="AN91" i="14"/>
  <c r="AR90" i="14"/>
  <c r="AS90" i="14" s="1"/>
  <c r="AO90" i="14"/>
  <c r="AP90" i="14" s="1"/>
  <c r="AN90" i="14"/>
  <c r="AR89" i="14"/>
  <c r="AS89" i="14" s="1"/>
  <c r="AO89" i="14"/>
  <c r="AP89" i="14" s="1"/>
  <c r="AN89" i="14"/>
  <c r="AR88" i="14"/>
  <c r="AS88" i="14" s="1"/>
  <c r="AO88" i="14"/>
  <c r="AP88" i="14" s="1"/>
  <c r="AN88" i="14"/>
  <c r="AR87" i="14"/>
  <c r="AS87" i="14" s="1"/>
  <c r="AO87" i="14"/>
  <c r="AP87" i="14" s="1"/>
  <c r="AN87" i="14"/>
  <c r="AR86" i="14"/>
  <c r="AS86" i="14" s="1"/>
  <c r="AO86" i="14"/>
  <c r="AP86" i="14" s="1"/>
  <c r="AN86" i="14"/>
  <c r="AR85" i="14"/>
  <c r="AS85" i="14" s="1"/>
  <c r="AO85" i="14"/>
  <c r="AP85" i="14" s="1"/>
  <c r="AN85" i="14"/>
  <c r="AR84" i="14"/>
  <c r="AS84" i="14" s="1"/>
  <c r="AO84" i="14"/>
  <c r="AP84" i="14" s="1"/>
  <c r="AN84" i="14"/>
  <c r="AR83" i="14"/>
  <c r="AS83" i="14" s="1"/>
  <c r="AO83" i="14"/>
  <c r="AP83" i="14" s="1"/>
  <c r="AN83" i="14"/>
  <c r="AR82" i="14"/>
  <c r="AS82" i="14" s="1"/>
  <c r="AO82" i="14"/>
  <c r="AP82" i="14" s="1"/>
  <c r="AN82" i="14"/>
  <c r="AR81" i="14"/>
  <c r="AS81" i="14" s="1"/>
  <c r="AO81" i="14"/>
  <c r="AP81" i="14" s="1"/>
  <c r="AN81" i="14"/>
  <c r="AR80" i="14"/>
  <c r="AS80" i="14" s="1"/>
  <c r="AO80" i="14"/>
  <c r="AP80" i="14" s="1"/>
  <c r="AN80" i="14"/>
  <c r="AR79" i="14"/>
  <c r="AS79" i="14" s="1"/>
  <c r="AO79" i="14"/>
  <c r="AP79" i="14" s="1"/>
  <c r="AN79" i="14"/>
  <c r="AR78" i="14"/>
  <c r="AS78" i="14" s="1"/>
  <c r="AO78" i="14"/>
  <c r="AP78" i="14" s="1"/>
  <c r="AN78" i="14"/>
  <c r="AR77" i="14"/>
  <c r="AS77" i="14" s="1"/>
  <c r="AO77" i="14"/>
  <c r="AP77" i="14" s="1"/>
  <c r="AN77" i="14"/>
  <c r="AR76" i="14"/>
  <c r="AS76" i="14" s="1"/>
  <c r="AO76" i="14"/>
  <c r="AP76" i="14" s="1"/>
  <c r="AN76" i="14"/>
  <c r="AR75" i="14"/>
  <c r="AS75" i="14" s="1"/>
  <c r="AO75" i="14"/>
  <c r="AP75" i="14" s="1"/>
  <c r="AN75" i="14"/>
  <c r="AR74" i="14"/>
  <c r="AS74" i="14" s="1"/>
  <c r="AO74" i="14"/>
  <c r="AP74" i="14" s="1"/>
  <c r="AN74" i="14"/>
  <c r="AR73" i="14"/>
  <c r="AS73" i="14" s="1"/>
  <c r="AO73" i="14"/>
  <c r="AP73" i="14" s="1"/>
  <c r="AN73" i="14"/>
  <c r="AR72" i="14"/>
  <c r="AS72" i="14" s="1"/>
  <c r="AO72" i="14"/>
  <c r="AP72" i="14" s="1"/>
  <c r="AN72" i="14"/>
  <c r="AR71" i="14"/>
  <c r="AS71" i="14" s="1"/>
  <c r="AO71" i="14"/>
  <c r="AP71" i="14" s="1"/>
  <c r="AN71" i="14"/>
  <c r="AR70" i="14"/>
  <c r="AS70" i="14" s="1"/>
  <c r="AO70" i="14"/>
  <c r="AP70" i="14" s="1"/>
  <c r="AN70" i="14"/>
  <c r="AR69" i="14"/>
  <c r="AS69" i="14" s="1"/>
  <c r="AO69" i="14"/>
  <c r="AP69" i="14" s="1"/>
  <c r="AN69" i="14"/>
  <c r="AR68" i="14"/>
  <c r="AS68" i="14" s="1"/>
  <c r="AO68" i="14"/>
  <c r="AP68" i="14" s="1"/>
  <c r="AN68" i="14"/>
  <c r="AR67" i="14"/>
  <c r="AS67" i="14" s="1"/>
  <c r="AO67" i="14"/>
  <c r="AP67" i="14" s="1"/>
  <c r="AN67" i="14"/>
  <c r="AR66" i="14"/>
  <c r="AS66" i="14" s="1"/>
  <c r="AO66" i="14"/>
  <c r="AP66" i="14" s="1"/>
  <c r="AN66" i="14"/>
  <c r="AR65" i="14"/>
  <c r="AS65" i="14" s="1"/>
  <c r="AO65" i="14"/>
  <c r="AP65" i="14" s="1"/>
  <c r="AN65" i="14"/>
  <c r="AR64" i="14"/>
  <c r="AS64" i="14" s="1"/>
  <c r="AO64" i="14"/>
  <c r="AP64" i="14" s="1"/>
  <c r="AN64" i="14"/>
  <c r="AR63" i="14"/>
  <c r="AS63" i="14" s="1"/>
  <c r="AO63" i="14"/>
  <c r="AP63" i="14" s="1"/>
  <c r="AN63" i="14"/>
  <c r="AR62" i="14"/>
  <c r="AS62" i="14" s="1"/>
  <c r="AO62" i="14"/>
  <c r="AP62" i="14" s="1"/>
  <c r="AN62" i="14"/>
  <c r="AR61" i="14"/>
  <c r="AS61" i="14" s="1"/>
  <c r="AO61" i="14"/>
  <c r="AP61" i="14" s="1"/>
  <c r="AN61" i="14"/>
  <c r="AR60" i="14"/>
  <c r="AS60" i="14" s="1"/>
  <c r="AO60" i="14"/>
  <c r="AP60" i="14" s="1"/>
  <c r="AN60" i="14"/>
  <c r="AR59" i="14"/>
  <c r="AS59" i="14" s="1"/>
  <c r="AO59" i="14"/>
  <c r="AP59" i="14" s="1"/>
  <c r="AN59" i="14"/>
  <c r="AR58" i="14"/>
  <c r="AS58" i="14" s="1"/>
  <c r="AO58" i="14"/>
  <c r="AP58" i="14" s="1"/>
  <c r="AN58" i="14"/>
  <c r="AR57" i="14"/>
  <c r="AS57" i="14" s="1"/>
  <c r="AO57" i="14"/>
  <c r="AP57" i="14" s="1"/>
  <c r="AN57" i="14"/>
  <c r="AR56" i="14"/>
  <c r="AS56" i="14" s="1"/>
  <c r="AO56" i="14"/>
  <c r="AP56" i="14" s="1"/>
  <c r="AN56" i="14"/>
  <c r="AR55" i="14"/>
  <c r="AS55" i="14" s="1"/>
  <c r="AO55" i="14"/>
  <c r="AP55" i="14" s="1"/>
  <c r="AN55" i="14"/>
  <c r="AR54" i="14"/>
  <c r="AS54" i="14" s="1"/>
  <c r="AO54" i="14"/>
  <c r="AP54" i="14" s="1"/>
  <c r="AN54" i="14"/>
  <c r="AR53" i="14"/>
  <c r="AS53" i="14" s="1"/>
  <c r="AO53" i="14"/>
  <c r="AP53" i="14" s="1"/>
  <c r="AN53" i="14"/>
  <c r="AR52" i="14"/>
  <c r="AS52" i="14" s="1"/>
  <c r="AO52" i="14"/>
  <c r="AP52" i="14" s="1"/>
  <c r="AN52" i="14"/>
  <c r="AR51" i="14"/>
  <c r="AS51" i="14" s="1"/>
  <c r="AO51" i="14"/>
  <c r="AP51" i="14" s="1"/>
  <c r="AN51" i="14"/>
  <c r="AR50" i="14"/>
  <c r="AS50" i="14" s="1"/>
  <c r="AO50" i="14"/>
  <c r="AP50" i="14" s="1"/>
  <c r="AN50" i="14"/>
  <c r="AR49" i="14"/>
  <c r="AS49" i="14" s="1"/>
  <c r="AO49" i="14"/>
  <c r="AP49" i="14" s="1"/>
  <c r="AN49" i="14"/>
  <c r="AR48" i="14"/>
  <c r="AS48" i="14" s="1"/>
  <c r="AO48" i="14"/>
  <c r="AP48" i="14" s="1"/>
  <c r="AN48" i="14"/>
  <c r="AR47" i="14"/>
  <c r="AS47" i="14" s="1"/>
  <c r="AO47" i="14"/>
  <c r="AP47" i="14" s="1"/>
  <c r="AN47" i="14"/>
  <c r="AR46" i="14"/>
  <c r="AS46" i="14" s="1"/>
  <c r="AO46" i="14"/>
  <c r="AP46" i="14" s="1"/>
  <c r="AN46" i="14"/>
  <c r="AR45" i="14"/>
  <c r="AS45" i="14" s="1"/>
  <c r="AO45" i="14"/>
  <c r="AP45" i="14" s="1"/>
  <c r="AN45" i="14"/>
  <c r="AR44" i="14"/>
  <c r="AS44" i="14" s="1"/>
  <c r="AO44" i="14"/>
  <c r="AP44" i="14" s="1"/>
  <c r="AN44" i="14"/>
  <c r="AR43" i="14"/>
  <c r="AS43" i="14" s="1"/>
  <c r="AO43" i="14"/>
  <c r="AP43" i="14" s="1"/>
  <c r="AN43" i="14"/>
  <c r="AR42" i="14"/>
  <c r="AS42" i="14" s="1"/>
  <c r="AO42" i="14"/>
  <c r="AP42" i="14" s="1"/>
  <c r="AN42" i="14"/>
  <c r="AR41" i="14"/>
  <c r="AS41" i="14" s="1"/>
  <c r="AO41" i="14"/>
  <c r="AP41" i="14" s="1"/>
  <c r="AN41" i="14"/>
  <c r="AR40" i="14"/>
  <c r="AS40" i="14" s="1"/>
  <c r="AO40" i="14"/>
  <c r="AP40" i="14" s="1"/>
  <c r="AN40" i="14"/>
  <c r="AR39" i="14"/>
  <c r="AS39" i="14" s="1"/>
  <c r="AO39" i="14"/>
  <c r="AP39" i="14" s="1"/>
  <c r="AN39" i="14"/>
  <c r="AR38" i="14"/>
  <c r="AS38" i="14" s="1"/>
  <c r="AO38" i="14"/>
  <c r="AP38" i="14" s="1"/>
  <c r="AN38" i="14"/>
  <c r="AR37" i="14"/>
  <c r="AS37" i="14" s="1"/>
  <c r="AO37" i="14"/>
  <c r="AP37" i="14" s="1"/>
  <c r="AN37" i="14"/>
  <c r="AR36" i="14"/>
  <c r="AS36" i="14" s="1"/>
  <c r="AO36" i="14"/>
  <c r="AP36" i="14" s="1"/>
  <c r="AN36" i="14"/>
  <c r="AR35" i="14"/>
  <c r="AS35" i="14" s="1"/>
  <c r="AO35" i="14"/>
  <c r="AP35" i="14" s="1"/>
  <c r="AN35" i="14"/>
  <c r="AR34" i="14"/>
  <c r="AS34" i="14" s="1"/>
  <c r="AO34" i="14"/>
  <c r="AP34" i="14" s="1"/>
  <c r="AN34" i="14"/>
  <c r="AR33" i="14"/>
  <c r="AS33" i="14" s="1"/>
  <c r="AO33" i="14"/>
  <c r="AP33" i="14" s="1"/>
  <c r="AN33" i="14"/>
  <c r="AR32" i="14"/>
  <c r="AS32" i="14" s="1"/>
  <c r="AO32" i="14"/>
  <c r="AP32" i="14" s="1"/>
  <c r="AN32" i="14"/>
  <c r="AR31" i="14"/>
  <c r="AS31" i="14" s="1"/>
  <c r="AO31" i="14"/>
  <c r="AP31" i="14" s="1"/>
  <c r="AN31" i="14"/>
  <c r="AR30" i="14"/>
  <c r="AS30" i="14" s="1"/>
  <c r="AO30" i="14"/>
  <c r="AP30" i="14" s="1"/>
  <c r="AN30" i="14"/>
  <c r="AR29" i="14"/>
  <c r="AS29" i="14" s="1"/>
  <c r="AO29" i="14"/>
  <c r="AP29" i="14" s="1"/>
  <c r="AN29" i="14"/>
  <c r="AR28" i="14"/>
  <c r="AS28" i="14" s="1"/>
  <c r="AO28" i="14"/>
  <c r="AP28" i="14" s="1"/>
  <c r="AN28" i="14"/>
  <c r="AR27" i="14"/>
  <c r="AS27" i="14" s="1"/>
  <c r="AO27" i="14"/>
  <c r="AP27" i="14" s="1"/>
  <c r="AN27" i="14"/>
  <c r="AR26" i="14"/>
  <c r="AS26" i="14" s="1"/>
  <c r="AO26" i="14"/>
  <c r="AP26" i="14" s="1"/>
  <c r="AN26" i="14"/>
  <c r="AR25" i="14"/>
  <c r="AS25" i="14" s="1"/>
  <c r="AO25" i="14"/>
  <c r="AP25" i="14" s="1"/>
  <c r="AN25" i="14"/>
  <c r="AR24" i="14"/>
  <c r="AS24" i="14" s="1"/>
  <c r="AO24" i="14"/>
  <c r="AP24" i="14" s="1"/>
  <c r="AN24" i="14"/>
  <c r="AR23" i="14"/>
  <c r="AS23" i="14" s="1"/>
  <c r="AO23" i="14"/>
  <c r="AP23" i="14" s="1"/>
  <c r="AN23" i="14"/>
  <c r="AR22" i="14"/>
  <c r="AS22" i="14" s="1"/>
  <c r="AO22" i="14"/>
  <c r="AP22" i="14" s="1"/>
  <c r="AN22" i="14"/>
  <c r="AR21" i="14"/>
  <c r="AS21" i="14" s="1"/>
  <c r="AO21" i="14"/>
  <c r="AP21" i="14" s="1"/>
  <c r="AN21" i="14"/>
  <c r="AR20" i="14"/>
  <c r="AS20" i="14" s="1"/>
  <c r="AO20" i="14"/>
  <c r="AP20" i="14" s="1"/>
  <c r="AN20" i="14"/>
  <c r="AR19" i="14"/>
  <c r="AS19" i="14" s="1"/>
  <c r="AO19" i="14"/>
  <c r="AP19" i="14" s="1"/>
  <c r="AN19" i="14"/>
  <c r="AR18" i="14"/>
  <c r="AS18" i="14" s="1"/>
  <c r="AO18" i="14"/>
  <c r="AP18" i="14" s="1"/>
  <c r="AN18" i="14"/>
  <c r="AR17" i="14"/>
  <c r="AS17" i="14" s="1"/>
  <c r="AO17" i="14"/>
  <c r="AP17" i="14" s="1"/>
  <c r="AN17" i="14"/>
  <c r="AQ104" i="14" l="1"/>
  <c r="AQ89" i="14"/>
  <c r="AQ20" i="14"/>
  <c r="AQ76" i="14"/>
  <c r="AQ85" i="14"/>
  <c r="AQ73" i="14"/>
  <c r="AQ112" i="14"/>
  <c r="AQ108" i="14"/>
  <c r="AQ116" i="14"/>
  <c r="AQ128" i="14"/>
  <c r="AQ84" i="14"/>
  <c r="AQ88" i="14"/>
  <c r="AQ77" i="14"/>
  <c r="AQ80" i="14"/>
  <c r="AQ72" i="14"/>
  <c r="AQ74" i="14"/>
  <c r="AQ78" i="14"/>
  <c r="AQ82" i="14"/>
  <c r="AQ86" i="14"/>
  <c r="AQ90" i="14"/>
  <c r="AQ98" i="14"/>
  <c r="AQ154" i="14"/>
  <c r="AQ99" i="14"/>
  <c r="AQ60" i="14"/>
  <c r="AQ64" i="14"/>
  <c r="AQ68" i="14"/>
  <c r="AQ45" i="14"/>
  <c r="AQ53" i="14"/>
  <c r="AQ61" i="14"/>
  <c r="AQ65" i="14"/>
  <c r="AQ38" i="14"/>
  <c r="AQ127" i="14"/>
  <c r="AQ131" i="14"/>
  <c r="AQ19" i="14"/>
  <c r="AQ105" i="14"/>
  <c r="AQ141" i="14"/>
  <c r="AQ145" i="14"/>
  <c r="AQ149" i="14"/>
  <c r="AQ153" i="14"/>
  <c r="AQ157" i="14"/>
  <c r="AQ70" i="14"/>
  <c r="AQ26" i="14"/>
  <c r="AQ47" i="14"/>
  <c r="AQ92" i="14"/>
  <c r="AQ140" i="14"/>
  <c r="AQ23" i="14"/>
  <c r="AQ31" i="14"/>
  <c r="AQ54" i="14"/>
  <c r="AQ58" i="14"/>
  <c r="AQ32" i="14"/>
  <c r="AQ35" i="14"/>
  <c r="AQ46" i="14"/>
  <c r="AQ96" i="14"/>
  <c r="AQ100" i="14"/>
  <c r="AQ147" i="14"/>
  <c r="AQ159" i="14"/>
  <c r="AQ163" i="14"/>
  <c r="AQ167" i="14"/>
  <c r="AQ17" i="14"/>
  <c r="AQ43" i="14"/>
  <c r="AQ62" i="14"/>
  <c r="AQ66" i="14"/>
  <c r="AQ113" i="14"/>
  <c r="AQ129" i="14"/>
  <c r="AQ133" i="14"/>
  <c r="AQ63" i="14"/>
  <c r="AQ94" i="14"/>
  <c r="AQ29" i="14"/>
  <c r="AQ44" i="14"/>
  <c r="AQ41" i="14"/>
  <c r="AQ52" i="14"/>
  <c r="AQ56" i="14"/>
  <c r="AQ75" i="14"/>
  <c r="AQ87" i="14"/>
  <c r="AQ110" i="14"/>
  <c r="AQ118" i="14"/>
  <c r="AQ122" i="14"/>
  <c r="AQ126" i="14"/>
  <c r="AQ130" i="14"/>
  <c r="AQ135" i="14"/>
  <c r="AQ28" i="14"/>
  <c r="AQ48" i="14"/>
  <c r="AQ25" i="14"/>
  <c r="AQ22" i="14"/>
  <c r="AQ97" i="14"/>
  <c r="AQ137" i="14"/>
  <c r="AQ151" i="14"/>
  <c r="AQ155" i="14"/>
  <c r="AQ101" i="14"/>
  <c r="AQ156" i="14"/>
  <c r="AQ50" i="14"/>
  <c r="AQ120" i="14"/>
  <c r="AQ124" i="14"/>
  <c r="AQ160" i="14"/>
  <c r="AQ40" i="14"/>
  <c r="AQ139" i="14"/>
  <c r="AQ37" i="14"/>
  <c r="AQ102" i="14"/>
  <c r="AQ106" i="14"/>
  <c r="AQ34" i="14"/>
  <c r="AQ51" i="14"/>
  <c r="AQ55" i="14"/>
  <c r="AQ117" i="14"/>
  <c r="AQ121" i="14"/>
  <c r="AQ125" i="14"/>
  <c r="AQ161" i="14"/>
  <c r="AQ111" i="14"/>
  <c r="AQ119" i="14"/>
  <c r="AQ162" i="14"/>
  <c r="AQ21" i="14"/>
  <c r="AQ33" i="14"/>
  <c r="AQ109" i="14"/>
  <c r="AQ114" i="14"/>
  <c r="AQ143" i="14"/>
  <c r="AQ165" i="14"/>
  <c r="AQ27" i="14"/>
  <c r="AQ36" i="14"/>
  <c r="AQ59" i="14"/>
  <c r="AQ71" i="14"/>
  <c r="AQ83" i="14"/>
  <c r="AQ95" i="14"/>
  <c r="AQ107" i="14"/>
  <c r="AQ138" i="14"/>
  <c r="AQ146" i="14"/>
  <c r="AQ152" i="14"/>
  <c r="AQ69" i="14"/>
  <c r="AQ166" i="14"/>
  <c r="AQ79" i="14"/>
  <c r="AQ91" i="14"/>
  <c r="AQ24" i="14"/>
  <c r="AQ42" i="14"/>
  <c r="AQ57" i="14"/>
  <c r="AQ81" i="14"/>
  <c r="AQ93" i="14"/>
  <c r="AQ136" i="14"/>
  <c r="AQ103" i="14"/>
  <c r="AQ115" i="14"/>
  <c r="AQ144" i="14"/>
  <c r="AQ49" i="14"/>
  <c r="AQ67" i="14"/>
  <c r="AQ123" i="14"/>
  <c r="AQ18" i="14"/>
  <c r="AQ30" i="14"/>
  <c r="AQ39" i="14"/>
  <c r="AQ132" i="14"/>
  <c r="AQ148" i="14"/>
  <c r="AQ164" i="14"/>
  <c r="AQ134" i="14"/>
  <c r="AQ142" i="14"/>
  <c r="AQ150" i="14"/>
  <c r="AQ158" i="14"/>
  <c r="AK13" i="14" l="1"/>
  <c r="AK12" i="14"/>
  <c r="D11" i="14"/>
  <c r="O3" i="14"/>
  <c r="O4" i="14" s="1"/>
  <c r="AA2" i="14"/>
  <c r="F4" i="14"/>
  <c r="F5" i="14"/>
  <c r="B5" i="14"/>
  <c r="B3" i="14"/>
  <c r="B4" i="14"/>
  <c r="F3" i="14"/>
  <c r="AT17" i="14" l="1"/>
  <c r="AT39" i="14"/>
  <c r="AT47" i="14"/>
  <c r="AT58" i="14"/>
  <c r="AT50" i="14"/>
  <c r="AV81" i="14"/>
  <c r="AW81" i="14" s="1"/>
  <c r="AT141" i="14"/>
  <c r="AT65" i="14"/>
  <c r="AT97" i="14"/>
  <c r="AT101" i="14"/>
  <c r="AT151" i="14"/>
  <c r="AV147" i="14"/>
  <c r="AW147" i="14" s="1"/>
  <c r="AT96" i="14"/>
  <c r="AT155" i="14"/>
  <c r="AT66" i="14"/>
  <c r="AV47" i="14"/>
  <c r="AW47" i="14" s="1"/>
  <c r="AT152" i="14"/>
  <c r="AT80" i="14"/>
  <c r="AT70" i="14"/>
  <c r="AV68" i="14"/>
  <c r="AW68" i="14" s="1"/>
  <c r="AV56" i="14"/>
  <c r="AW56" i="14" s="1"/>
  <c r="AT23" i="14"/>
  <c r="AT34" i="14"/>
  <c r="AV43" i="14"/>
  <c r="AW43" i="14" s="1"/>
  <c r="AV50" i="14"/>
  <c r="AW50" i="14" s="1"/>
  <c r="AV61" i="14"/>
  <c r="AW61" i="14" s="1"/>
  <c r="AV55" i="14"/>
  <c r="AW55" i="14" s="1"/>
  <c r="AT69" i="14"/>
  <c r="AT57" i="14"/>
  <c r="AT140" i="14"/>
  <c r="AT138" i="14"/>
  <c r="AT167" i="14"/>
  <c r="AV127" i="14"/>
  <c r="AW127" i="14" s="1"/>
  <c r="AV45" i="14"/>
  <c r="AW45" i="14" s="1"/>
  <c r="AV57" i="14"/>
  <c r="AW57" i="14" s="1"/>
  <c r="AT73" i="14"/>
  <c r="AT149" i="14"/>
  <c r="AT82" i="14"/>
  <c r="AT42" i="14"/>
  <c r="AT120" i="14"/>
  <c r="AV60" i="14"/>
  <c r="AW60" i="14" s="1"/>
  <c r="AV88" i="14"/>
  <c r="AW88" i="14" s="1"/>
  <c r="AT100" i="14"/>
  <c r="AT124" i="14"/>
  <c r="AT68" i="14"/>
  <c r="AT56" i="14"/>
  <c r="AT98" i="14"/>
  <c r="AT106" i="14"/>
  <c r="AT29" i="14"/>
  <c r="AT43" i="14"/>
  <c r="AV97" i="14"/>
  <c r="AW97" i="14" s="1"/>
  <c r="AV52" i="14"/>
  <c r="AW52" i="14" s="1"/>
  <c r="AT63" i="14"/>
  <c r="AT130" i="14"/>
  <c r="AT160" i="14"/>
  <c r="AT77" i="14"/>
  <c r="AT139" i="14"/>
  <c r="AV149" i="14"/>
  <c r="AW149" i="14" s="1"/>
  <c r="AT49" i="14"/>
  <c r="AT99" i="14"/>
  <c r="AT94" i="14"/>
  <c r="AV59" i="14"/>
  <c r="AW59" i="14" s="1"/>
  <c r="AT93" i="14"/>
  <c r="AT60" i="14"/>
  <c r="AT88" i="14"/>
  <c r="AT112" i="14"/>
  <c r="AV40" i="14"/>
  <c r="AW40" i="14" s="1"/>
  <c r="AV65" i="14"/>
  <c r="AW65" i="14" s="1"/>
  <c r="AT67" i="14"/>
  <c r="AV84" i="14"/>
  <c r="AW84" i="14" s="1"/>
  <c r="AT159" i="14"/>
  <c r="AT35" i="14"/>
  <c r="AV53" i="14"/>
  <c r="AW53" i="14" s="1"/>
  <c r="AT81" i="14"/>
  <c r="AT157" i="14"/>
  <c r="AV129" i="14"/>
  <c r="AW129" i="14" s="1"/>
  <c r="AV125" i="14"/>
  <c r="AW125" i="14" s="1"/>
  <c r="AT74" i="14"/>
  <c r="AV49" i="14"/>
  <c r="AW49" i="14" s="1"/>
  <c r="AV64" i="14"/>
  <c r="AW64" i="14" s="1"/>
  <c r="AT55" i="14"/>
  <c r="AT86" i="14"/>
  <c r="AT84" i="14"/>
  <c r="AV48" i="14"/>
  <c r="AW48" i="14" s="1"/>
  <c r="AV62" i="14"/>
  <c r="AW62" i="14" s="1"/>
  <c r="AT72" i="14"/>
  <c r="AT161" i="14"/>
  <c r="AT19" i="14"/>
  <c r="AT25" i="14"/>
  <c r="AT40" i="14"/>
  <c r="AT45" i="14"/>
  <c r="AT53" i="14"/>
  <c r="AV69" i="14"/>
  <c r="AW69" i="14" s="1"/>
  <c r="AV87" i="14"/>
  <c r="AW87" i="14" s="1"/>
  <c r="AT89" i="14"/>
  <c r="AT75" i="14"/>
  <c r="AT116" i="14"/>
  <c r="AT108" i="14"/>
  <c r="AT147" i="14"/>
  <c r="AT136" i="14"/>
  <c r="AT166" i="14"/>
  <c r="AT165" i="14"/>
  <c r="AT156" i="14"/>
  <c r="AT113" i="14"/>
  <c r="AT144" i="14"/>
  <c r="AT104" i="14"/>
  <c r="AV91" i="14"/>
  <c r="AW91" i="14" s="1"/>
  <c r="AT87" i="14"/>
  <c r="AV128" i="14"/>
  <c r="AW128" i="14" s="1"/>
  <c r="AV146" i="14"/>
  <c r="AW146" i="14" s="1"/>
  <c r="AT78" i="14"/>
  <c r="AV82" i="14"/>
  <c r="AW82" i="14" s="1"/>
  <c r="AV66" i="14"/>
  <c r="AW66" i="14" s="1"/>
  <c r="AT59" i="14"/>
  <c r="AT129" i="14"/>
  <c r="AT131" i="14"/>
  <c r="AT64" i="14"/>
  <c r="AT48" i="14"/>
  <c r="AT62" i="14"/>
  <c r="AT145" i="14"/>
  <c r="AT36" i="14"/>
  <c r="AV46" i="14"/>
  <c r="AW46" i="14" s="1"/>
  <c r="AV54" i="14"/>
  <c r="AW54" i="14" s="1"/>
  <c r="AT105" i="14"/>
  <c r="AV63" i="14"/>
  <c r="AW63" i="14" s="1"/>
  <c r="AT117" i="14"/>
  <c r="AT95" i="14"/>
  <c r="AT79" i="14"/>
  <c r="AT135" i="14"/>
  <c r="AT85" i="14"/>
  <c r="AT146" i="14"/>
  <c r="AT27" i="14"/>
  <c r="AV51" i="14"/>
  <c r="AW51" i="14" s="1"/>
  <c r="AT110" i="14"/>
  <c r="AT126" i="14"/>
  <c r="AT38" i="14"/>
  <c r="AT127" i="14"/>
  <c r="AT118" i="14"/>
  <c r="AV90" i="14"/>
  <c r="AW90" i="14" s="1"/>
  <c r="AV159" i="14"/>
  <c r="AW159" i="14" s="1"/>
  <c r="AT20" i="14"/>
  <c r="AT26" i="14"/>
  <c r="AT31" i="14"/>
  <c r="AT41" i="14"/>
  <c r="AV89" i="14"/>
  <c r="AW89" i="14" s="1"/>
  <c r="AT44" i="14"/>
  <c r="AT121" i="14"/>
  <c r="AT102" i="14"/>
  <c r="AT154" i="14"/>
  <c r="AT128" i="14"/>
  <c r="AT92" i="14"/>
  <c r="AT52" i="14"/>
  <c r="AT22" i="14"/>
  <c r="AT91" i="14"/>
  <c r="AT33" i="14"/>
  <c r="AT61" i="14"/>
  <c r="AT133" i="14"/>
  <c r="AT163" i="14"/>
  <c r="AT137" i="14"/>
  <c r="AT90" i="14"/>
  <c r="AT122" i="14"/>
  <c r="AT153" i="14"/>
  <c r="AT76" i="14"/>
  <c r="AT32" i="14"/>
  <c r="AT37" i="14"/>
  <c r="AV41" i="14"/>
  <c r="AW41" i="14" s="1"/>
  <c r="AT46" i="14"/>
  <c r="AT54" i="14"/>
  <c r="AV67" i="14"/>
  <c r="AW67" i="14" s="1"/>
  <c r="AT51" i="14"/>
  <c r="AT109" i="14"/>
  <c r="AT125" i="14"/>
  <c r="AV44" i="14"/>
  <c r="AW44" i="14" s="1"/>
  <c r="AV131" i="14"/>
  <c r="AW131" i="14" s="1"/>
  <c r="AT28" i="14"/>
  <c r="AV58" i="14"/>
  <c r="AW58" i="14" s="1"/>
  <c r="AV151" i="14"/>
  <c r="AW151" i="14" s="1"/>
  <c r="AV39" i="14"/>
  <c r="AW39" i="14" s="1"/>
  <c r="AT111" i="14"/>
  <c r="AT119" i="14"/>
  <c r="AT143" i="14"/>
  <c r="AT158" i="14"/>
  <c r="AT148" i="14"/>
  <c r="AV148" i="14"/>
  <c r="AW148" i="14" s="1"/>
  <c r="AV83" i="14"/>
  <c r="AW83" i="14" s="1"/>
  <c r="AT83" i="14"/>
  <c r="AT114" i="14"/>
  <c r="AT150" i="14"/>
  <c r="AV42" i="14"/>
  <c r="AW42" i="14" s="1"/>
  <c r="AT103" i="14"/>
  <c r="AV150" i="14"/>
  <c r="AW150" i="14" s="1"/>
  <c r="AT107" i="14"/>
  <c r="AT18" i="14"/>
  <c r="AT134" i="14"/>
  <c r="AV134" i="14"/>
  <c r="AW134" i="14" s="1"/>
  <c r="AT132" i="14"/>
  <c r="AT21" i="14"/>
  <c r="AT162" i="14"/>
  <c r="AT123" i="14"/>
  <c r="AT164" i="14"/>
  <c r="AT71" i="14"/>
  <c r="AT30" i="14"/>
  <c r="AT115" i="14"/>
  <c r="AT24" i="14"/>
  <c r="AT142" i="14"/>
  <c r="AU118" i="14"/>
  <c r="AU129" i="14"/>
  <c r="AU68" i="14"/>
  <c r="AU98" i="14"/>
  <c r="AU102" i="14"/>
  <c r="AU23" i="14"/>
  <c r="AU28" i="14"/>
  <c r="AU39" i="14"/>
  <c r="AU43" i="14"/>
  <c r="AU61" i="14"/>
  <c r="AU48" i="14"/>
  <c r="AU127" i="14"/>
  <c r="AU124" i="14"/>
  <c r="AU140" i="14"/>
  <c r="AU151" i="14"/>
  <c r="AU138" i="14"/>
  <c r="AU55" i="14"/>
  <c r="AU25" i="14"/>
  <c r="AU40" i="14"/>
  <c r="AU87" i="14"/>
  <c r="AU147" i="14"/>
  <c r="AU59" i="14"/>
  <c r="AU60" i="14"/>
  <c r="AU88" i="14"/>
  <c r="AU52" i="14"/>
  <c r="AU106" i="14"/>
  <c r="AU29" i="14"/>
  <c r="AU97" i="14"/>
  <c r="AU141" i="14"/>
  <c r="AU130" i="14"/>
  <c r="AU160" i="14"/>
  <c r="AU64" i="14"/>
  <c r="AU136" i="14"/>
  <c r="AU131" i="14"/>
  <c r="AU96" i="14"/>
  <c r="AU34" i="14"/>
  <c r="AU50" i="14"/>
  <c r="AU65" i="14"/>
  <c r="AU56" i="14"/>
  <c r="AU100" i="14"/>
  <c r="AU104" i="14"/>
  <c r="AU139" i="14"/>
  <c r="AU167" i="14"/>
  <c r="AU53" i="14"/>
  <c r="AU115" i="14"/>
  <c r="AU69" i="14"/>
  <c r="AU108" i="14"/>
  <c r="AU22" i="14"/>
  <c r="AU86" i="14"/>
  <c r="AU84" i="14"/>
  <c r="AU72" i="14"/>
  <c r="AU47" i="14"/>
  <c r="AU35" i="14"/>
  <c r="AU45" i="14"/>
  <c r="AU85" i="14"/>
  <c r="AU99" i="14"/>
  <c r="AU57" i="14"/>
  <c r="AU155" i="14"/>
  <c r="AU107" i="14"/>
  <c r="AU133" i="14"/>
  <c r="AU62" i="14"/>
  <c r="AU19" i="14"/>
  <c r="AU166" i="14"/>
  <c r="AU101" i="14"/>
  <c r="AU145" i="14"/>
  <c r="AU105" i="14"/>
  <c r="AU63" i="14"/>
  <c r="AU117" i="14"/>
  <c r="AU165" i="14"/>
  <c r="AU157" i="14"/>
  <c r="AU156" i="14"/>
  <c r="AU135" i="14"/>
  <c r="AU154" i="14"/>
  <c r="AU17" i="14"/>
  <c r="AU82" i="14"/>
  <c r="AU74" i="14"/>
  <c r="AU66" i="14"/>
  <c r="AU49" i="14"/>
  <c r="AU33" i="14"/>
  <c r="AU152" i="14"/>
  <c r="AU161" i="14"/>
  <c r="AU90" i="14"/>
  <c r="AU51" i="14"/>
  <c r="AU76" i="14"/>
  <c r="AU20" i="14"/>
  <c r="AU26" i="14"/>
  <c r="AU31" i="14"/>
  <c r="AU41" i="14"/>
  <c r="AU73" i="14"/>
  <c r="AU89" i="14"/>
  <c r="AU121" i="14"/>
  <c r="AU79" i="14"/>
  <c r="AU126" i="14"/>
  <c r="AU70" i="14"/>
  <c r="AU95" i="14"/>
  <c r="AU137" i="14"/>
  <c r="AU110" i="14"/>
  <c r="AU92" i="14"/>
  <c r="AU122" i="14"/>
  <c r="AU153" i="14"/>
  <c r="AU37" i="14"/>
  <c r="AU46" i="14"/>
  <c r="AU54" i="14"/>
  <c r="AU75" i="14"/>
  <c r="AU67" i="14"/>
  <c r="AU120" i="14"/>
  <c r="AU109" i="14"/>
  <c r="AU113" i="14"/>
  <c r="AU128" i="14"/>
  <c r="AU146" i="14"/>
  <c r="AU144" i="14"/>
  <c r="AU94" i="14"/>
  <c r="AU44" i="14"/>
  <c r="AU163" i="14"/>
  <c r="AU80" i="14"/>
  <c r="AU81" i="14"/>
  <c r="AU78" i="14"/>
  <c r="AU159" i="14"/>
  <c r="AU27" i="14"/>
  <c r="AU77" i="14"/>
  <c r="AU91" i="14"/>
  <c r="AU32" i="14"/>
  <c r="AU116" i="14"/>
  <c r="AU119" i="14"/>
  <c r="AU58" i="14"/>
  <c r="AU38" i="14"/>
  <c r="AU93" i="14"/>
  <c r="AU112" i="14"/>
  <c r="AU149" i="14"/>
  <c r="AU125" i="14"/>
  <c r="AU18" i="14"/>
  <c r="AU158" i="14"/>
  <c r="AU148" i="14"/>
  <c r="AU30" i="14"/>
  <c r="AU83" i="14"/>
  <c r="AU143" i="14"/>
  <c r="AU132" i="14"/>
  <c r="AU24" i="14"/>
  <c r="AU21" i="14"/>
  <c r="AU123" i="14"/>
  <c r="AU114" i="14"/>
  <c r="AU150" i="14"/>
  <c r="AU103" i="14"/>
  <c r="AU111" i="14"/>
  <c r="AU71" i="14"/>
  <c r="AU42" i="14"/>
  <c r="AU162" i="14"/>
  <c r="AU134" i="14"/>
  <c r="AU36" i="14"/>
  <c r="AU164" i="14"/>
  <c r="AU142" i="14"/>
  <c r="Q29" i="1" l="1"/>
  <c r="P29" i="1"/>
  <c r="AH29" i="1" s="1"/>
  <c r="O29" i="1"/>
  <c r="AG29" i="1" s="1"/>
  <c r="N29" i="1"/>
  <c r="AF29" i="1" s="1"/>
  <c r="K29" i="1"/>
  <c r="AV141" i="14"/>
  <c r="AW141" i="14" s="1"/>
  <c r="AV95" i="14"/>
  <c r="AW95" i="14" s="1"/>
  <c r="AV140" i="14"/>
  <c r="AW140" i="14" s="1"/>
  <c r="AV71" i="14"/>
  <c r="AW71" i="14" s="1"/>
  <c r="AV138" i="14"/>
  <c r="AW138" i="14" s="1"/>
  <c r="AV166" i="14"/>
  <c r="AW166" i="14" s="1"/>
  <c r="AV19" i="14"/>
  <c r="AW19" i="14" s="1"/>
  <c r="AV111" i="14"/>
  <c r="AW111" i="14" s="1"/>
  <c r="AV79" i="14"/>
  <c r="AW79" i="14" s="1"/>
  <c r="AV164" i="14"/>
  <c r="AW164" i="14" s="1"/>
  <c r="AV115" i="14"/>
  <c r="AW115" i="14" s="1"/>
  <c r="AV112" i="14"/>
  <c r="AW112" i="14" s="1"/>
  <c r="AV33" i="14"/>
  <c r="AW33" i="14" s="1"/>
  <c r="AV76" i="14"/>
  <c r="AW76" i="14" s="1"/>
  <c r="AV162" i="14"/>
  <c r="AW162" i="14" s="1"/>
  <c r="AV117" i="14"/>
  <c r="AW117" i="14" s="1"/>
  <c r="AV20" i="14"/>
  <c r="AW20" i="14" s="1"/>
  <c r="AV102" i="14"/>
  <c r="AW102" i="14" s="1"/>
  <c r="AV152" i="14"/>
  <c r="AW152" i="14" s="1"/>
  <c r="AV135" i="14"/>
  <c r="AW135" i="14" s="1"/>
  <c r="AV133" i="14"/>
  <c r="AW133" i="14" s="1"/>
  <c r="AV142" i="14"/>
  <c r="AW142" i="14" s="1"/>
  <c r="AV121" i="14"/>
  <c r="AW121" i="14" s="1"/>
  <c r="AV103" i="14"/>
  <c r="AW103" i="14" s="1"/>
  <c r="AV27" i="14"/>
  <c r="AW27" i="14" s="1"/>
  <c r="AV96" i="14"/>
  <c r="AW96" i="14" s="1"/>
  <c r="AV114" i="14"/>
  <c r="AW114" i="14" s="1"/>
  <c r="AV94" i="14"/>
  <c r="AW94" i="14" s="1"/>
  <c r="AV75" i="14"/>
  <c r="AW75" i="14" s="1"/>
  <c r="AV99" i="14"/>
  <c r="AW99" i="14" s="1"/>
  <c r="AV29" i="14"/>
  <c r="AW29" i="14" s="1"/>
  <c r="AV155" i="14"/>
  <c r="AW155" i="14" s="1"/>
  <c r="AV124" i="14"/>
  <c r="AW124" i="14" s="1"/>
  <c r="AV74" i="14"/>
  <c r="AW74" i="14" s="1"/>
  <c r="AV143" i="14"/>
  <c r="AW143" i="14" s="1"/>
  <c r="AV119" i="14"/>
  <c r="AW119" i="14" s="1"/>
  <c r="AV78" i="14"/>
  <c r="AW78" i="14" s="1"/>
  <c r="AV165" i="14"/>
  <c r="AW165" i="14" s="1"/>
  <c r="AV136" i="14"/>
  <c r="AW136" i="14" s="1"/>
  <c r="AV23" i="14"/>
  <c r="AW23" i="14" s="1"/>
  <c r="AV104" i="14"/>
  <c r="AW104" i="14" s="1"/>
  <c r="AV73" i="14"/>
  <c r="AW73" i="14" s="1"/>
  <c r="AV153" i="14"/>
  <c r="AW153" i="14" s="1"/>
  <c r="AV92" i="14"/>
  <c r="AW92" i="14" s="1"/>
  <c r="AV154" i="14"/>
  <c r="AW154" i="14" s="1"/>
  <c r="AV118" i="14"/>
  <c r="AW118" i="14" s="1"/>
  <c r="AV144" i="14"/>
  <c r="AW144" i="14" s="1"/>
  <c r="AV98" i="14"/>
  <c r="AW98" i="14" s="1"/>
  <c r="AV122" i="14"/>
  <c r="AW122" i="14" s="1"/>
  <c r="AV30" i="14"/>
  <c r="AW30" i="14" s="1"/>
  <c r="AV123" i="14"/>
  <c r="AW123" i="14" s="1"/>
  <c r="AV126" i="14"/>
  <c r="AW126" i="14" s="1"/>
  <c r="AV139" i="14"/>
  <c r="AW139" i="14" s="1"/>
  <c r="AV167" i="14"/>
  <c r="AW167" i="14" s="1"/>
  <c r="AV160" i="14"/>
  <c r="AW160" i="14" s="1"/>
  <c r="AV145" i="14"/>
  <c r="AW145" i="14" s="1"/>
  <c r="AV161" i="14"/>
  <c r="AW161" i="14" s="1"/>
  <c r="AV157" i="14"/>
  <c r="AW157" i="14" s="1"/>
  <c r="AV100" i="14"/>
  <c r="AW100" i="14" s="1"/>
  <c r="AV101" i="14"/>
  <c r="AW101" i="14" s="1"/>
  <c r="AV28" i="14"/>
  <c r="AW28" i="14" s="1"/>
  <c r="AV37" i="14"/>
  <c r="AW37" i="14" s="1"/>
  <c r="AV26" i="14"/>
  <c r="AW26" i="14" s="1"/>
  <c r="AV72" i="14"/>
  <c r="AW72" i="14" s="1"/>
  <c r="AV70" i="14"/>
  <c r="AW70" i="14" s="1"/>
  <c r="AV132" i="14"/>
  <c r="AW132" i="14" s="1"/>
  <c r="AV32" i="14"/>
  <c r="AW32" i="14" s="1"/>
  <c r="AV116" i="14"/>
  <c r="AW116" i="14" s="1"/>
  <c r="AV93" i="14"/>
  <c r="AW93" i="14" s="1"/>
  <c r="AV80" i="14"/>
  <c r="AW80" i="14" s="1"/>
  <c r="AV86" i="14"/>
  <c r="AW86" i="14" s="1"/>
  <c r="AV107" i="14"/>
  <c r="AW107" i="14" s="1"/>
  <c r="AV137" i="14"/>
  <c r="AW137" i="14" s="1"/>
  <c r="AV38" i="14"/>
  <c r="AW38" i="14" s="1"/>
  <c r="AV17" i="14"/>
  <c r="AW17" i="14" s="1"/>
  <c r="AV106" i="14"/>
  <c r="AW106" i="14" s="1"/>
  <c r="AV110" i="14"/>
  <c r="AW110" i="14" s="1"/>
  <c r="AV158" i="14"/>
  <c r="AW158" i="14" s="1"/>
  <c r="AV113" i="14"/>
  <c r="AW113" i="14" s="1"/>
  <c r="AV105" i="14"/>
  <c r="AW105" i="14" s="1"/>
  <c r="AV34" i="14"/>
  <c r="AW34" i="14" s="1"/>
  <c r="AV36" i="14"/>
  <c r="AW36" i="14" s="1"/>
  <c r="AV109" i="14"/>
  <c r="AW109" i="14" s="1"/>
  <c r="Q33" i="1"/>
  <c r="AV120" i="14"/>
  <c r="AW120" i="14" s="1"/>
  <c r="AV24" i="14"/>
  <c r="AW24" i="14" s="1"/>
  <c r="AV35" i="14"/>
  <c r="AW35" i="14" s="1"/>
  <c r="AV85" i="14"/>
  <c r="AW85" i="14" s="1"/>
  <c r="AV156" i="14"/>
  <c r="AW156" i="14" s="1"/>
  <c r="AV31" i="14"/>
  <c r="AW31" i="14" s="1"/>
  <c r="AV163" i="14"/>
  <c r="AW163" i="14" s="1"/>
  <c r="AV25" i="14"/>
  <c r="AW25" i="14" s="1"/>
  <c r="AV21" i="14"/>
  <c r="AW21" i="14" s="1"/>
  <c r="AV108" i="14"/>
  <c r="AW108" i="14" s="1"/>
  <c r="AV77" i="14"/>
  <c r="AW77" i="14" s="1"/>
  <c r="AV18" i="14"/>
  <c r="AW18" i="14" s="1"/>
  <c r="AV22" i="14"/>
  <c r="AW22" i="14" s="1"/>
  <c r="AV130" i="14"/>
  <c r="AW130" i="14" s="1"/>
  <c r="P33" i="1" l="1"/>
  <c r="M29" i="1"/>
  <c r="L29" i="1" s="1"/>
  <c r="AC29" i="1"/>
  <c r="AE29" i="1"/>
  <c r="AI29" i="1"/>
  <c r="AD29" i="1" l="1"/>
  <c r="F49" i="12" l="1"/>
  <c r="F52" i="12"/>
  <c r="G52" i="12" s="1"/>
  <c r="H52" i="12" s="1"/>
  <c r="F50" i="12"/>
  <c r="G50" i="12" s="1"/>
  <c r="H50" i="12" s="1"/>
  <c r="D53" i="12" l="1"/>
  <c r="G49" i="12"/>
  <c r="F51" i="12"/>
  <c r="F75" i="12" s="1"/>
  <c r="D75" i="12"/>
  <c r="G51" i="12" l="1"/>
  <c r="H49" i="12"/>
  <c r="N45" i="1" l="1"/>
  <c r="H51" i="12"/>
  <c r="G75" i="12"/>
  <c r="H75" i="12" l="1"/>
  <c r="Z71" i="1" l="1"/>
  <c r="Y71" i="1"/>
  <c r="X71" i="1"/>
  <c r="W71" i="1"/>
  <c r="V71" i="1"/>
  <c r="U71" i="1"/>
  <c r="T71" i="1"/>
  <c r="Z59" i="1"/>
  <c r="Y59" i="1"/>
  <c r="X59" i="1"/>
  <c r="W59" i="1"/>
  <c r="T59" i="1"/>
  <c r="X33" i="1"/>
  <c r="R99" i="4"/>
  <c r="R518" i="4"/>
  <c r="R492" i="4"/>
  <c r="R479" i="4"/>
  <c r="R437" i="4"/>
  <c r="R429" i="4"/>
  <c r="R424" i="4"/>
  <c r="R418" i="4"/>
  <c r="R405" i="4"/>
  <c r="R397" i="4"/>
  <c r="R378" i="4"/>
  <c r="R335" i="4"/>
  <c r="R320" i="4"/>
  <c r="R274" i="4"/>
  <c r="R213" i="4"/>
  <c r="R153" i="4"/>
  <c r="R133" i="4"/>
  <c r="R123" i="4"/>
  <c r="R86" i="4"/>
  <c r="R68" i="4"/>
  <c r="R48" i="4"/>
  <c r="R37" i="4"/>
  <c r="D63" i="7"/>
  <c r="D64" i="7" s="1"/>
  <c r="K43" i="1"/>
  <c r="N43" i="1" l="1"/>
  <c r="B63" i="7"/>
  <c r="X73" i="1"/>
  <c r="R431" i="4"/>
  <c r="R520" i="4"/>
  <c r="R155" i="4"/>
  <c r="E62" i="7"/>
  <c r="P43" i="1" s="1"/>
  <c r="B64" i="7" l="1"/>
  <c r="C63" i="7"/>
  <c r="C64" i="7" s="1"/>
  <c r="F62" i="7"/>
  <c r="Q43" i="1" s="1"/>
  <c r="E61" i="7"/>
  <c r="P45" i="1" s="1"/>
  <c r="E63" i="7" l="1"/>
  <c r="E64" i="7" s="1"/>
  <c r="F61" i="7"/>
  <c r="Q45" i="1" s="1"/>
  <c r="F63" i="7" l="1"/>
  <c r="F64" i="7" s="1"/>
  <c r="F53" i="12" l="1"/>
  <c r="U59" i="1"/>
  <c r="V59" i="1"/>
  <c r="Y31" i="1" l="1"/>
  <c r="W31" i="1"/>
  <c r="G53" i="12"/>
  <c r="Z31" i="1"/>
  <c r="H53" i="12" l="1"/>
  <c r="AG11" i="1"/>
  <c r="AC11" i="1" l="1"/>
  <c r="AE11" i="1"/>
  <c r="AD11" i="1" l="1"/>
  <c r="AF11" i="1" l="1"/>
  <c r="AH11" i="1" l="1"/>
  <c r="AI11" i="1"/>
  <c r="N593" i="4"/>
  <c r="O593" i="4" s="1"/>
  <c r="P593" i="4" s="1"/>
  <c r="N592" i="4"/>
  <c r="O592" i="4" s="1"/>
  <c r="P592" i="4" s="1"/>
  <c r="H7" i="1" l="1"/>
  <c r="N590" i="4"/>
  <c r="O590" i="4" s="1"/>
  <c r="P590" i="4" s="1"/>
  <c r="K590" i="4"/>
  <c r="L590" i="4" s="1"/>
  <c r="T33" i="1" l="1"/>
  <c r="T73" i="1" s="1"/>
  <c r="T74" i="1" s="1"/>
  <c r="U33" i="1" l="1"/>
  <c r="U73" i="1" s="1"/>
  <c r="V33" i="1"/>
  <c r="V73" i="1" s="1"/>
  <c r="Z33" i="1"/>
  <c r="Z73" i="1" s="1"/>
  <c r="Z74" i="1" s="1"/>
  <c r="Y33" i="1"/>
  <c r="Y73" i="1" s="1"/>
  <c r="Y74" i="1" s="1"/>
  <c r="M69" i="1" l="1"/>
  <c r="M67" i="1"/>
  <c r="M65" i="1"/>
  <c r="M57" i="1"/>
  <c r="M55" i="1"/>
  <c r="M53" i="1"/>
  <c r="M51" i="1"/>
  <c r="M49" i="1"/>
  <c r="M47" i="1"/>
  <c r="M45" i="1"/>
  <c r="M43" i="1"/>
  <c r="M41" i="1"/>
  <c r="M39" i="1"/>
  <c r="Q59" i="1" l="1"/>
  <c r="Q71" i="1"/>
  <c r="N33" i="1"/>
  <c r="N59" i="1"/>
  <c r="N71" i="1"/>
  <c r="O33" i="1"/>
  <c r="O59" i="1"/>
  <c r="P59" i="1"/>
  <c r="O71" i="1"/>
  <c r="K33" i="1"/>
  <c r="M37" i="1"/>
  <c r="M59" i="1" s="1"/>
  <c r="K59" i="1"/>
  <c r="M63" i="1"/>
  <c r="M71" i="1" s="1"/>
  <c r="K71" i="1"/>
  <c r="P71" i="1"/>
  <c r="L69" i="1"/>
  <c r="L67" i="1"/>
  <c r="L65" i="1"/>
  <c r="L57" i="1"/>
  <c r="L55" i="1"/>
  <c r="L53" i="1"/>
  <c r="L51" i="1"/>
  <c r="L49" i="1"/>
  <c r="L47" i="1"/>
  <c r="L45" i="1"/>
  <c r="L43" i="1"/>
  <c r="L41" i="1"/>
  <c r="L39" i="1"/>
  <c r="N7" i="4"/>
  <c r="N6" i="4"/>
  <c r="T55" i="4" s="1"/>
  <c r="P73" i="1" l="1"/>
  <c r="P74" i="1" s="1"/>
  <c r="L37" i="1"/>
  <c r="L59" i="1" s="1"/>
  <c r="O73" i="1"/>
  <c r="O74" i="1" s="1"/>
  <c r="N73" i="1"/>
  <c r="N74" i="1" s="1"/>
  <c r="K73" i="1"/>
  <c r="Q73" i="1"/>
  <c r="Q74" i="1" s="1"/>
  <c r="L63" i="1"/>
  <c r="L71" i="1" s="1"/>
  <c r="Q590" i="4"/>
  <c r="Q55" i="4"/>
  <c r="S590" i="4"/>
  <c r="S55" i="4"/>
  <c r="M9" i="1"/>
  <c r="M33" i="1" s="1"/>
  <c r="M73" i="1" s="1"/>
  <c r="U55" i="4" l="1"/>
  <c r="T590" i="4"/>
  <c r="U590" i="4" s="1"/>
  <c r="AD69" i="1"/>
  <c r="AH7" i="1" l="1"/>
  <c r="AI7" i="1" s="1"/>
  <c r="AG7" i="1"/>
  <c r="Y7" i="1"/>
  <c r="Z7" i="1" s="1"/>
  <c r="X7" i="1"/>
  <c r="P7" i="1"/>
  <c r="Q7" i="1" s="1"/>
  <c r="O7" i="1"/>
  <c r="L9" i="1" l="1"/>
  <c r="L33" i="1" s="1"/>
  <c r="L73" i="1" s="1"/>
  <c r="M378" i="4" l="1"/>
  <c r="N35" i="4" l="1"/>
  <c r="O35" i="4" s="1"/>
  <c r="K35" i="4"/>
  <c r="L35" i="4" s="1"/>
  <c r="S35" i="4" l="1"/>
  <c r="P35" i="4"/>
  <c r="Q35" i="4" s="1"/>
  <c r="T35" i="4" s="1"/>
  <c r="K452" i="4"/>
  <c r="L452" i="4" s="1"/>
  <c r="K445" i="4"/>
  <c r="L445" i="4" s="1"/>
  <c r="K442" i="4"/>
  <c r="L442" i="4" s="1"/>
  <c r="K42" i="4"/>
  <c r="L42" i="4" s="1"/>
  <c r="K62" i="4"/>
  <c r="L62" i="4" s="1"/>
  <c r="K18" i="4"/>
  <c r="L18" i="4" s="1"/>
  <c r="K16" i="4"/>
  <c r="L16" i="4" s="1"/>
  <c r="K13" i="4"/>
  <c r="L13" i="4" s="1"/>
  <c r="U35" i="4" l="1"/>
  <c r="M437" i="4"/>
  <c r="N516" i="4" l="1"/>
  <c r="O516" i="4" s="1"/>
  <c r="K516" i="4"/>
  <c r="L516" i="4" s="1"/>
  <c r="S516" i="4" l="1"/>
  <c r="P516" i="4"/>
  <c r="Q516" i="4" s="1"/>
  <c r="M583" i="4"/>
  <c r="K583" i="4"/>
  <c r="L583" i="4" s="1"/>
  <c r="Q583" i="4" s="1"/>
  <c r="T516" i="4" l="1"/>
  <c r="U516" i="4"/>
  <c r="N583" i="4"/>
  <c r="O583" i="4" s="1"/>
  <c r="P583" i="4" s="1"/>
  <c r="S583" i="4" l="1"/>
  <c r="N515" i="4"/>
  <c r="O515" i="4" s="1"/>
  <c r="K515" i="4"/>
  <c r="L515" i="4" s="1"/>
  <c r="N376" i="4"/>
  <c r="O376" i="4" s="1"/>
  <c r="K376" i="4"/>
  <c r="L376" i="4" s="1"/>
  <c r="N361" i="4"/>
  <c r="O361" i="4" s="1"/>
  <c r="K361" i="4"/>
  <c r="L361" i="4" s="1"/>
  <c r="N360" i="4"/>
  <c r="O360" i="4" s="1"/>
  <c r="K360" i="4"/>
  <c r="L360" i="4" s="1"/>
  <c r="S360" i="4" l="1"/>
  <c r="S361" i="4"/>
  <c r="S376" i="4"/>
  <c r="S515" i="4"/>
  <c r="P360" i="4"/>
  <c r="Q360" i="4" s="1"/>
  <c r="P361" i="4"/>
  <c r="Q361" i="4" s="1"/>
  <c r="T361" i="4" s="1"/>
  <c r="P376" i="4"/>
  <c r="Q376" i="4" s="1"/>
  <c r="T376" i="4" s="1"/>
  <c r="P515" i="4"/>
  <c r="Q515" i="4" s="1"/>
  <c r="M363" i="4"/>
  <c r="T360" i="4" l="1"/>
  <c r="T515" i="4"/>
  <c r="U376" i="4"/>
  <c r="U361" i="4"/>
  <c r="U515" i="4"/>
  <c r="U360" i="4"/>
  <c r="B45" i="1"/>
  <c r="AC45" i="1" s="1"/>
  <c r="B47" i="1"/>
  <c r="AC47" i="1" s="1"/>
  <c r="N183" i="4"/>
  <c r="O183" i="4" s="1"/>
  <c r="P183" i="4" s="1"/>
  <c r="K183" i="4"/>
  <c r="L183" i="4" s="1"/>
  <c r="T183" i="4" s="1"/>
  <c r="N190" i="4"/>
  <c r="O190" i="4" s="1"/>
  <c r="P190" i="4" s="1"/>
  <c r="K190" i="4"/>
  <c r="L190" i="4" s="1"/>
  <c r="T190" i="4" s="1"/>
  <c r="N245" i="4"/>
  <c r="O245" i="4" s="1"/>
  <c r="P245" i="4" s="1"/>
  <c r="K245" i="4"/>
  <c r="L245" i="4" s="1"/>
  <c r="T245" i="4" s="1"/>
  <c r="N244" i="4"/>
  <c r="O244" i="4" s="1"/>
  <c r="P244" i="4" s="1"/>
  <c r="K244" i="4"/>
  <c r="L244" i="4" s="1"/>
  <c r="T244" i="4" s="1"/>
  <c r="N243" i="4"/>
  <c r="O243" i="4" s="1"/>
  <c r="P243" i="4" s="1"/>
  <c r="K243" i="4"/>
  <c r="L243" i="4" s="1"/>
  <c r="T243" i="4" s="1"/>
  <c r="N375" i="4"/>
  <c r="O375" i="4" s="1"/>
  <c r="K375" i="4"/>
  <c r="L375" i="4" s="1"/>
  <c r="N359" i="4"/>
  <c r="O359" i="4" s="1"/>
  <c r="K359" i="4"/>
  <c r="L359" i="4" s="1"/>
  <c r="N46" i="4"/>
  <c r="O46" i="4" s="1"/>
  <c r="K46" i="4"/>
  <c r="L46" i="4" s="1"/>
  <c r="N584" i="4"/>
  <c r="O584" i="4" s="1"/>
  <c r="P584" i="4" s="1"/>
  <c r="K584" i="4"/>
  <c r="L584" i="4" s="1"/>
  <c r="Q584" i="4" s="1"/>
  <c r="N585" i="4"/>
  <c r="O585" i="4" s="1"/>
  <c r="P585" i="4" s="1"/>
  <c r="K585" i="4"/>
  <c r="L585" i="4" s="1"/>
  <c r="Q585" i="4" s="1"/>
  <c r="N587" i="4"/>
  <c r="O587" i="4" s="1"/>
  <c r="P587" i="4" s="1"/>
  <c r="K587" i="4"/>
  <c r="L587" i="4" s="1"/>
  <c r="Q587" i="4" s="1"/>
  <c r="N586" i="4"/>
  <c r="O586" i="4" s="1"/>
  <c r="P586" i="4" s="1"/>
  <c r="K586" i="4"/>
  <c r="L586" i="4" s="1"/>
  <c r="Q586" i="4" s="1"/>
  <c r="N582" i="4"/>
  <c r="O582" i="4" s="1"/>
  <c r="P582" i="4" s="1"/>
  <c r="K582" i="4"/>
  <c r="L582" i="4" s="1"/>
  <c r="Q582" i="4" s="1"/>
  <c r="S10" i="4"/>
  <c r="S243" i="4" l="1"/>
  <c r="Q243" i="4"/>
  <c r="S244" i="4"/>
  <c r="Q244" i="4"/>
  <c r="Q245" i="4"/>
  <c r="S245" i="4"/>
  <c r="S46" i="4"/>
  <c r="S190" i="4"/>
  <c r="Q190" i="4"/>
  <c r="S359" i="4"/>
  <c r="S183" i="4"/>
  <c r="Q183" i="4"/>
  <c r="S375" i="4"/>
  <c r="P359" i="4"/>
  <c r="Q359" i="4" s="1"/>
  <c r="P375" i="4"/>
  <c r="Q375" i="4" s="1"/>
  <c r="T375" i="4" s="1"/>
  <c r="P46" i="4"/>
  <c r="Q46" i="4" s="1"/>
  <c r="S585" i="4"/>
  <c r="S582" i="4"/>
  <c r="S584" i="4"/>
  <c r="S586" i="4"/>
  <c r="S587" i="4"/>
  <c r="T46" i="4" l="1"/>
  <c r="T359" i="4"/>
  <c r="U359" i="4" s="1"/>
  <c r="U46" i="4"/>
  <c r="U244" i="4"/>
  <c r="U243" i="4"/>
  <c r="U190" i="4"/>
  <c r="U245" i="4"/>
  <c r="U375" i="4"/>
  <c r="U183" i="4"/>
  <c r="N358" i="4"/>
  <c r="O358" i="4" s="1"/>
  <c r="K358" i="4"/>
  <c r="L358" i="4" s="1"/>
  <c r="N97" i="4"/>
  <c r="O97" i="4" s="1"/>
  <c r="K97" i="4"/>
  <c r="L97" i="4" s="1"/>
  <c r="N96" i="4"/>
  <c r="K96" i="4"/>
  <c r="L96" i="4" s="1"/>
  <c r="S97" i="4" l="1"/>
  <c r="S358" i="4"/>
  <c r="P97" i="4"/>
  <c r="Q97" i="4" s="1"/>
  <c r="T97" i="4" s="1"/>
  <c r="P358" i="4"/>
  <c r="Q358" i="4" s="1"/>
  <c r="T358" i="4" s="1"/>
  <c r="O96" i="4"/>
  <c r="S96" i="4" s="1"/>
  <c r="N477" i="4"/>
  <c r="O477" i="4" s="1"/>
  <c r="P477" i="4" s="1"/>
  <c r="K477" i="4"/>
  <c r="L477" i="4" s="1"/>
  <c r="T477" i="4" s="1"/>
  <c r="N374" i="4"/>
  <c r="O374" i="4" s="1"/>
  <c r="K374" i="4"/>
  <c r="L374" i="4" s="1"/>
  <c r="N357" i="4"/>
  <c r="O357" i="4" s="1"/>
  <c r="K357" i="4"/>
  <c r="L357" i="4" s="1"/>
  <c r="N211" i="4"/>
  <c r="O211" i="4" s="1"/>
  <c r="K211" i="4"/>
  <c r="L211" i="4" s="1"/>
  <c r="N45" i="4"/>
  <c r="O45" i="4" s="1"/>
  <c r="K45" i="4"/>
  <c r="L45" i="4" s="1"/>
  <c r="U97" i="4" l="1"/>
  <c r="S477" i="4"/>
  <c r="Q477" i="4"/>
  <c r="U358" i="4"/>
  <c r="S45" i="4"/>
  <c r="S211" i="4"/>
  <c r="S357" i="4"/>
  <c r="S374" i="4"/>
  <c r="P45" i="4"/>
  <c r="Q45" i="4" s="1"/>
  <c r="P211" i="4"/>
  <c r="Q211" i="4" s="1"/>
  <c r="P357" i="4"/>
  <c r="Q357" i="4" s="1"/>
  <c r="P374" i="4"/>
  <c r="Q374" i="4" s="1"/>
  <c r="P96" i="4"/>
  <c r="Q96" i="4" s="1"/>
  <c r="T96" i="4" s="1"/>
  <c r="T374" i="4" l="1"/>
  <c r="T45" i="4"/>
  <c r="T211" i="4"/>
  <c r="T357" i="4"/>
  <c r="U374" i="4"/>
  <c r="U477" i="4"/>
  <c r="U96" i="4"/>
  <c r="U211" i="4"/>
  <c r="U357" i="4"/>
  <c r="U45" i="4"/>
  <c r="T583" i="4"/>
  <c r="U583" i="4" s="1"/>
  <c r="T586" i="4"/>
  <c r="U586" i="4" s="1"/>
  <c r="T587" i="4"/>
  <c r="U587" i="4" s="1"/>
  <c r="N76" i="4"/>
  <c r="O76" i="4" s="1"/>
  <c r="P76" i="4" s="1"/>
  <c r="K76" i="4"/>
  <c r="L76" i="4" s="1"/>
  <c r="T76" i="4" s="1"/>
  <c r="N373" i="4"/>
  <c r="O373" i="4" s="1"/>
  <c r="K373" i="4"/>
  <c r="L373" i="4" s="1"/>
  <c r="N372" i="4"/>
  <c r="O372" i="4" s="1"/>
  <c r="K372" i="4"/>
  <c r="L372" i="4" s="1"/>
  <c r="N416" i="4"/>
  <c r="O416" i="4" s="1"/>
  <c r="K416" i="4"/>
  <c r="L416" i="4" s="1"/>
  <c r="N356" i="4"/>
  <c r="O356" i="4" s="1"/>
  <c r="K356" i="4"/>
  <c r="L356" i="4" s="1"/>
  <c r="N355" i="4"/>
  <c r="O355" i="4" s="1"/>
  <c r="K355" i="4"/>
  <c r="L355" i="4" s="1"/>
  <c r="N272" i="4"/>
  <c r="O272" i="4" s="1"/>
  <c r="K272" i="4"/>
  <c r="L272" i="4" s="1"/>
  <c r="N271" i="4"/>
  <c r="O271" i="4" s="1"/>
  <c r="K271" i="4"/>
  <c r="L271" i="4" s="1"/>
  <c r="N270" i="4"/>
  <c r="O270" i="4" s="1"/>
  <c r="K270" i="4"/>
  <c r="L270" i="4" s="1"/>
  <c r="N269" i="4"/>
  <c r="O269" i="4" s="1"/>
  <c r="K269" i="4"/>
  <c r="L269" i="4" s="1"/>
  <c r="N268" i="4"/>
  <c r="O268" i="4" s="1"/>
  <c r="K268" i="4"/>
  <c r="L268" i="4" s="1"/>
  <c r="N267" i="4"/>
  <c r="O267" i="4" s="1"/>
  <c r="K267" i="4"/>
  <c r="L267" i="4" s="1"/>
  <c r="N266" i="4"/>
  <c r="O266" i="4" s="1"/>
  <c r="P266" i="4" s="1"/>
  <c r="K266" i="4"/>
  <c r="L266" i="4" s="1"/>
  <c r="N265" i="4"/>
  <c r="O265" i="4" s="1"/>
  <c r="P265" i="4" s="1"/>
  <c r="K265" i="4"/>
  <c r="L265" i="4" s="1"/>
  <c r="N264" i="4"/>
  <c r="O264" i="4" s="1"/>
  <c r="P264" i="4" s="1"/>
  <c r="K264" i="4"/>
  <c r="L264" i="4" s="1"/>
  <c r="N263" i="4"/>
  <c r="O263" i="4" s="1"/>
  <c r="P263" i="4" s="1"/>
  <c r="K263" i="4"/>
  <c r="L263" i="4" s="1"/>
  <c r="M34" i="4"/>
  <c r="N34" i="4" s="1"/>
  <c r="O34" i="4" s="1"/>
  <c r="K34" i="4"/>
  <c r="L34" i="4" s="1"/>
  <c r="M33" i="4"/>
  <c r="N33" i="4" s="1"/>
  <c r="O33" i="4" s="1"/>
  <c r="K33" i="4"/>
  <c r="L33" i="4" s="1"/>
  <c r="S373" i="4" l="1"/>
  <c r="S265" i="4"/>
  <c r="Q265" i="4"/>
  <c r="T265" i="4" s="1"/>
  <c r="S266" i="4"/>
  <c r="Q266" i="4"/>
  <c r="S264" i="4"/>
  <c r="Q264" i="4"/>
  <c r="S267" i="4"/>
  <c r="S356" i="4"/>
  <c r="S372" i="4"/>
  <c r="S271" i="4"/>
  <c r="S76" i="4"/>
  <c r="Q76" i="4"/>
  <c r="S33" i="4"/>
  <c r="S270" i="4"/>
  <c r="S272" i="4"/>
  <c r="S355" i="4"/>
  <c r="S34" i="4"/>
  <c r="S268" i="4"/>
  <c r="Q263" i="4"/>
  <c r="S263" i="4"/>
  <c r="S269" i="4"/>
  <c r="S416" i="4"/>
  <c r="P373" i="4"/>
  <c r="Q373" i="4" s="1"/>
  <c r="T373" i="4" s="1"/>
  <c r="P272" i="4"/>
  <c r="Q272" i="4" s="1"/>
  <c r="P33" i="4"/>
  <c r="Q33" i="4" s="1"/>
  <c r="P34" i="4"/>
  <c r="Q34" i="4" s="1"/>
  <c r="P268" i="4"/>
  <c r="Q268" i="4" s="1"/>
  <c r="P356" i="4"/>
  <c r="Q356" i="4" s="1"/>
  <c r="P416" i="4"/>
  <c r="Q416" i="4" s="1"/>
  <c r="P271" i="4"/>
  <c r="Q271" i="4" s="1"/>
  <c r="P267" i="4"/>
  <c r="Q267" i="4" s="1"/>
  <c r="P355" i="4"/>
  <c r="Q355" i="4" s="1"/>
  <c r="P269" i="4"/>
  <c r="Q269" i="4" s="1"/>
  <c r="P270" i="4"/>
  <c r="Q270" i="4" s="1"/>
  <c r="P372" i="4"/>
  <c r="Q372" i="4" s="1"/>
  <c r="T584" i="4"/>
  <c r="U584" i="4" s="1"/>
  <c r="T585" i="4"/>
  <c r="U585" i="4" s="1"/>
  <c r="T582" i="4"/>
  <c r="U582" i="4" s="1"/>
  <c r="T33" i="4" l="1"/>
  <c r="T372" i="4"/>
  <c r="T269" i="4"/>
  <c r="T271" i="4"/>
  <c r="T267" i="4"/>
  <c r="U267" i="4" s="1"/>
  <c r="T264" i="4"/>
  <c r="T416" i="4"/>
  <c r="U416" i="4" s="1"/>
  <c r="T266" i="4"/>
  <c r="U266" i="4" s="1"/>
  <c r="T355" i="4"/>
  <c r="U355" i="4" s="1"/>
  <c r="T268" i="4"/>
  <c r="U268" i="4" s="1"/>
  <c r="T263" i="4"/>
  <c r="U263" i="4" s="1"/>
  <c r="T356" i="4"/>
  <c r="U356" i="4" s="1"/>
  <c r="T34" i="4"/>
  <c r="U34" i="4" s="1"/>
  <c r="T272" i="4"/>
  <c r="U272" i="4" s="1"/>
  <c r="T270" i="4"/>
  <c r="U270" i="4" s="1"/>
  <c r="U373" i="4"/>
  <c r="U265" i="4"/>
  <c r="U269" i="4"/>
  <c r="U33" i="4"/>
  <c r="U271" i="4"/>
  <c r="U76" i="4"/>
  <c r="U372" i="4"/>
  <c r="U264" i="4"/>
  <c r="N458" i="4"/>
  <c r="O458" i="4" s="1"/>
  <c r="P458" i="4" s="1"/>
  <c r="K458" i="4"/>
  <c r="L458" i="4" s="1"/>
  <c r="T458" i="4" s="1"/>
  <c r="N435" i="4"/>
  <c r="O435" i="4" s="1"/>
  <c r="P435" i="4" s="1"/>
  <c r="K435" i="4"/>
  <c r="L435" i="4" s="1"/>
  <c r="T435" i="4" s="1"/>
  <c r="N210" i="4"/>
  <c r="O210" i="4" s="1"/>
  <c r="K210" i="4"/>
  <c r="L210" i="4" s="1"/>
  <c r="N209" i="4"/>
  <c r="O209" i="4" s="1"/>
  <c r="K209" i="4"/>
  <c r="L209" i="4" s="1"/>
  <c r="N371" i="4"/>
  <c r="O371" i="4" s="1"/>
  <c r="K371" i="4"/>
  <c r="L371" i="4" s="1"/>
  <c r="N354" i="4"/>
  <c r="O354" i="4" s="1"/>
  <c r="K354" i="4"/>
  <c r="L354" i="4" s="1"/>
  <c r="N353" i="4"/>
  <c r="O353" i="4" s="1"/>
  <c r="K353" i="4"/>
  <c r="L353" i="4" s="1"/>
  <c r="D352" i="4"/>
  <c r="N352" i="4"/>
  <c r="O352" i="4" s="1"/>
  <c r="K352" i="4"/>
  <c r="L352" i="4" s="1"/>
  <c r="N351" i="4"/>
  <c r="O351" i="4" s="1"/>
  <c r="K351" i="4"/>
  <c r="L351" i="4" s="1"/>
  <c r="N350" i="4"/>
  <c r="O350" i="4" s="1"/>
  <c r="K350" i="4"/>
  <c r="L350" i="4" s="1"/>
  <c r="N349" i="4"/>
  <c r="O349" i="4" s="1"/>
  <c r="K349" i="4"/>
  <c r="L349" i="4" s="1"/>
  <c r="S352" i="4" l="1"/>
  <c r="S458" i="4"/>
  <c r="Q458" i="4"/>
  <c r="S210" i="4"/>
  <c r="S351" i="4"/>
  <c r="S435" i="4"/>
  <c r="Q435" i="4"/>
  <c r="S353" i="4"/>
  <c r="S354" i="4"/>
  <c r="S349" i="4"/>
  <c r="S371" i="4"/>
  <c r="T371" i="4" s="1"/>
  <c r="S350" i="4"/>
  <c r="S209" i="4"/>
  <c r="P349" i="4"/>
  <c r="Q349" i="4" s="1"/>
  <c r="P350" i="4"/>
  <c r="Q350" i="4" s="1"/>
  <c r="P352" i="4"/>
  <c r="Q352" i="4" s="1"/>
  <c r="P209" i="4"/>
  <c r="Q209" i="4" s="1"/>
  <c r="P371" i="4"/>
  <c r="Q371" i="4" s="1"/>
  <c r="P351" i="4"/>
  <c r="Q351" i="4" s="1"/>
  <c r="P210" i="4"/>
  <c r="Q210" i="4" s="1"/>
  <c r="T210" i="4" s="1"/>
  <c r="P353" i="4"/>
  <c r="Q353" i="4" s="1"/>
  <c r="P354" i="4"/>
  <c r="Q354" i="4" s="1"/>
  <c r="K463" i="4"/>
  <c r="L463" i="4" s="1"/>
  <c r="K450" i="4"/>
  <c r="L450" i="4" s="1"/>
  <c r="K448" i="4"/>
  <c r="L448" i="4" s="1"/>
  <c r="K140" i="4"/>
  <c r="L140" i="4" s="1"/>
  <c r="T351" i="4" l="1"/>
  <c r="T354" i="4"/>
  <c r="U354" i="4" s="1"/>
  <c r="T350" i="4"/>
  <c r="T353" i="4"/>
  <c r="T209" i="4"/>
  <c r="U209" i="4" s="1"/>
  <c r="T352" i="4"/>
  <c r="U352" i="4" s="1"/>
  <c r="T349" i="4"/>
  <c r="U349" i="4" s="1"/>
  <c r="U353" i="4"/>
  <c r="U458" i="4"/>
  <c r="U371" i="4"/>
  <c r="U350" i="4"/>
  <c r="U435" i="4"/>
  <c r="U351" i="4"/>
  <c r="U210" i="4"/>
  <c r="M103" i="4"/>
  <c r="K114" i="4"/>
  <c r="L114" i="4" s="1"/>
  <c r="K112" i="4"/>
  <c r="L112" i="4" s="1"/>
  <c r="K599" i="4"/>
  <c r="L599" i="4" s="1"/>
  <c r="K127" i="4"/>
  <c r="L127" i="4" s="1"/>
  <c r="K104" i="4"/>
  <c r="L104" i="4" s="1"/>
  <c r="K144" i="4"/>
  <c r="L144" i="4" s="1"/>
  <c r="K150" i="4"/>
  <c r="L150" i="4" s="1"/>
  <c r="K78" i="4"/>
  <c r="L78" i="4" s="1"/>
  <c r="K137" i="4"/>
  <c r="L137" i="4" s="1"/>
  <c r="K142" i="4"/>
  <c r="L142" i="4" s="1"/>
  <c r="K595" i="4"/>
  <c r="L595" i="4" s="1"/>
  <c r="K90" i="4"/>
  <c r="L90" i="4" s="1"/>
  <c r="K594" i="4"/>
  <c r="L594" i="4" s="1"/>
  <c r="K80" i="4"/>
  <c r="L80" i="4" s="1"/>
  <c r="K59" i="4"/>
  <c r="L59" i="4" s="1"/>
  <c r="K57" i="4"/>
  <c r="L57" i="4" s="1"/>
  <c r="K54" i="4"/>
  <c r="L54" i="4" s="1"/>
  <c r="K591" i="4"/>
  <c r="L591" i="4" s="1"/>
  <c r="K52" i="4"/>
  <c r="L52" i="4" s="1"/>
  <c r="K22" i="4"/>
  <c r="L22" i="4" s="1"/>
  <c r="K129" i="4"/>
  <c r="L129" i="4" s="1"/>
  <c r="K110" i="4"/>
  <c r="L110" i="4" s="1"/>
  <c r="K108" i="4"/>
  <c r="L108" i="4" s="1"/>
  <c r="K564" i="4"/>
  <c r="L564" i="4" s="1"/>
  <c r="K576" i="4"/>
  <c r="L576" i="4" s="1"/>
  <c r="K561" i="4"/>
  <c r="L561" i="4" s="1"/>
  <c r="K20" i="4"/>
  <c r="L20" i="4" s="1"/>
  <c r="K146" i="4"/>
  <c r="L146" i="4" s="1"/>
  <c r="K148" i="4"/>
  <c r="L148" i="4" s="1"/>
  <c r="N562" i="4"/>
  <c r="O562" i="4" s="1"/>
  <c r="P562" i="4" s="1"/>
  <c r="N23" i="4"/>
  <c r="O23" i="4" s="1"/>
  <c r="P23" i="4" s="1"/>
  <c r="K43" i="4"/>
  <c r="L43" i="4" s="1"/>
  <c r="T43" i="4" s="1"/>
  <c r="K23" i="4"/>
  <c r="L23" i="4" s="1"/>
  <c r="T23" i="4" s="1"/>
  <c r="K562" i="4"/>
  <c r="L562" i="4" s="1"/>
  <c r="N71" i="4"/>
  <c r="K475" i="4"/>
  <c r="L475" i="4" s="1"/>
  <c r="T475" i="4" s="1"/>
  <c r="K476" i="4"/>
  <c r="L476" i="4" s="1"/>
  <c r="T476" i="4" s="1"/>
  <c r="N475" i="4"/>
  <c r="O475" i="4" s="1"/>
  <c r="P475" i="4" s="1"/>
  <c r="N476" i="4"/>
  <c r="O476" i="4" s="1"/>
  <c r="P476" i="4" s="1"/>
  <c r="N434" i="4"/>
  <c r="N437" i="4" s="1"/>
  <c r="K434" i="4"/>
  <c r="L434" i="4" s="1"/>
  <c r="T434" i="4" s="1"/>
  <c r="N511" i="4"/>
  <c r="O511" i="4" s="1"/>
  <c r="N512" i="4"/>
  <c r="O512" i="4" s="1"/>
  <c r="N513" i="4"/>
  <c r="O513" i="4" s="1"/>
  <c r="N514" i="4"/>
  <c r="O514" i="4" s="1"/>
  <c r="K514" i="4"/>
  <c r="L514" i="4" s="1"/>
  <c r="K513" i="4"/>
  <c r="L513" i="4" s="1"/>
  <c r="K512" i="4"/>
  <c r="L512" i="4" s="1"/>
  <c r="K511" i="4"/>
  <c r="L511" i="4" s="1"/>
  <c r="N258" i="4"/>
  <c r="O258" i="4" s="1"/>
  <c r="N259" i="4"/>
  <c r="O259" i="4" s="1"/>
  <c r="N260" i="4"/>
  <c r="O260" i="4" s="1"/>
  <c r="N261" i="4"/>
  <c r="O261" i="4" s="1"/>
  <c r="N262" i="4"/>
  <c r="O262" i="4" s="1"/>
  <c r="K258" i="4"/>
  <c r="L258" i="4" s="1"/>
  <c r="K259" i="4"/>
  <c r="L259" i="4" s="1"/>
  <c r="K260" i="4"/>
  <c r="L260" i="4" s="1"/>
  <c r="K261" i="4"/>
  <c r="L261" i="4" s="1"/>
  <c r="K262" i="4"/>
  <c r="L262" i="4" s="1"/>
  <c r="N28" i="4"/>
  <c r="O28" i="4" s="1"/>
  <c r="N29" i="4"/>
  <c r="O29" i="4" s="1"/>
  <c r="N30" i="4"/>
  <c r="O30" i="4" s="1"/>
  <c r="N31" i="4"/>
  <c r="O31" i="4" s="1"/>
  <c r="N32" i="4"/>
  <c r="O32" i="4" s="1"/>
  <c r="K32" i="4"/>
  <c r="L32" i="4" s="1"/>
  <c r="K31" i="4"/>
  <c r="L31" i="4" s="1"/>
  <c r="K30" i="4"/>
  <c r="L30" i="4" s="1"/>
  <c r="K29" i="4"/>
  <c r="L29" i="4" s="1"/>
  <c r="K28" i="4"/>
  <c r="L28" i="4" s="1"/>
  <c r="N422" i="4"/>
  <c r="O422" i="4" s="1"/>
  <c r="K422" i="4"/>
  <c r="L422" i="4" s="1"/>
  <c r="M418" i="4"/>
  <c r="B53" i="1" s="1"/>
  <c r="AC53" i="1" s="1"/>
  <c r="N414" i="4"/>
  <c r="O414" i="4" s="1"/>
  <c r="N415" i="4"/>
  <c r="O415" i="4" s="1"/>
  <c r="K415" i="4"/>
  <c r="L415" i="4" s="1"/>
  <c r="K414" i="4"/>
  <c r="L414" i="4" s="1"/>
  <c r="K205" i="4"/>
  <c r="L205" i="4" s="1"/>
  <c r="K206" i="4"/>
  <c r="L206" i="4" s="1"/>
  <c r="T206" i="4" s="1"/>
  <c r="K207" i="4"/>
  <c r="L207" i="4" s="1"/>
  <c r="K208" i="4"/>
  <c r="L208" i="4" s="1"/>
  <c r="N205" i="4"/>
  <c r="O205" i="4" s="1"/>
  <c r="N206" i="4"/>
  <c r="O206" i="4" s="1"/>
  <c r="N207" i="4"/>
  <c r="O207" i="4" s="1"/>
  <c r="N208" i="4"/>
  <c r="O208" i="4" s="1"/>
  <c r="N366" i="4"/>
  <c r="N367" i="4"/>
  <c r="O367" i="4" s="1"/>
  <c r="N368" i="4"/>
  <c r="O368" i="4" s="1"/>
  <c r="N369" i="4"/>
  <c r="O369" i="4" s="1"/>
  <c r="N370" i="4"/>
  <c r="O370" i="4" s="1"/>
  <c r="K370" i="4"/>
  <c r="L370" i="4" s="1"/>
  <c r="K369" i="4"/>
  <c r="L369" i="4" s="1"/>
  <c r="K368" i="4"/>
  <c r="L368" i="4" s="1"/>
  <c r="K367" i="4"/>
  <c r="L367" i="4" s="1"/>
  <c r="K366" i="4"/>
  <c r="L366" i="4" s="1"/>
  <c r="K338" i="4"/>
  <c r="L338" i="4" s="1"/>
  <c r="N338" i="4"/>
  <c r="K339" i="4"/>
  <c r="L339" i="4" s="1"/>
  <c r="N339" i="4"/>
  <c r="O339" i="4" s="1"/>
  <c r="K340" i="4"/>
  <c r="L340" i="4" s="1"/>
  <c r="N340" i="4"/>
  <c r="O340" i="4" s="1"/>
  <c r="K341" i="4"/>
  <c r="L341" i="4" s="1"/>
  <c r="N341" i="4"/>
  <c r="O341" i="4" s="1"/>
  <c r="K342" i="4"/>
  <c r="L342" i="4" s="1"/>
  <c r="N342" i="4"/>
  <c r="O342" i="4" s="1"/>
  <c r="K343" i="4"/>
  <c r="L343" i="4" s="1"/>
  <c r="N343" i="4"/>
  <c r="O343" i="4" s="1"/>
  <c r="K344" i="4"/>
  <c r="L344" i="4" s="1"/>
  <c r="N344" i="4"/>
  <c r="O344" i="4" s="1"/>
  <c r="K345" i="4"/>
  <c r="L345" i="4" s="1"/>
  <c r="N345" i="4"/>
  <c r="O345" i="4" s="1"/>
  <c r="K346" i="4"/>
  <c r="L346" i="4" s="1"/>
  <c r="N346" i="4"/>
  <c r="O346" i="4" s="1"/>
  <c r="K347" i="4"/>
  <c r="L347" i="4" s="1"/>
  <c r="N347" i="4"/>
  <c r="O347" i="4" s="1"/>
  <c r="K348" i="4"/>
  <c r="L348" i="4" s="1"/>
  <c r="N348" i="4"/>
  <c r="O348" i="4" s="1"/>
  <c r="N378" i="4" l="1"/>
  <c r="N363" i="4"/>
  <c r="D45" i="1" s="1"/>
  <c r="AE45" i="1" s="1"/>
  <c r="S348" i="4"/>
  <c r="S368" i="4"/>
  <c r="S208" i="4"/>
  <c r="S29" i="4"/>
  <c r="S259" i="4"/>
  <c r="S23" i="4"/>
  <c r="Q23" i="4"/>
  <c r="S342" i="4"/>
  <c r="S207" i="4"/>
  <c r="S30" i="4"/>
  <c r="S258" i="4"/>
  <c r="S43" i="4"/>
  <c r="Q43" i="4"/>
  <c r="S370" i="4"/>
  <c r="S206" i="4"/>
  <c r="Q206" i="4"/>
  <c r="S31" i="4"/>
  <c r="S434" i="4"/>
  <c r="S437" i="4" s="1"/>
  <c r="Q434" i="4"/>
  <c r="S32" i="4"/>
  <c r="S415" i="4"/>
  <c r="S341" i="4"/>
  <c r="S346" i="4"/>
  <c r="S345" i="4"/>
  <c r="S511" i="4"/>
  <c r="S476" i="4"/>
  <c r="Q476" i="4"/>
  <c r="S347" i="4"/>
  <c r="S512" i="4"/>
  <c r="S475" i="4"/>
  <c r="Q475" i="4"/>
  <c r="S369" i="4"/>
  <c r="S339" i="4"/>
  <c r="S262" i="4"/>
  <c r="S513" i="4"/>
  <c r="S414" i="4"/>
  <c r="S340" i="4"/>
  <c r="S205" i="4"/>
  <c r="S344" i="4"/>
  <c r="S422" i="4"/>
  <c r="S261" i="4"/>
  <c r="S514" i="4"/>
  <c r="S343" i="4"/>
  <c r="S367" i="4"/>
  <c r="S28" i="4"/>
  <c r="S260" i="4"/>
  <c r="P205" i="4"/>
  <c r="Q205" i="4" s="1"/>
  <c r="P348" i="4"/>
  <c r="Q348" i="4" s="1"/>
  <c r="T348" i="4" s="1"/>
  <c r="P342" i="4"/>
  <c r="Q342" i="4" s="1"/>
  <c r="P513" i="4"/>
  <c r="Q513" i="4" s="1"/>
  <c r="T513" i="4" s="1"/>
  <c r="P512" i="4"/>
  <c r="Q512" i="4" s="1"/>
  <c r="P262" i="4"/>
  <c r="Q262" i="4" s="1"/>
  <c r="P511" i="4"/>
  <c r="Q511" i="4" s="1"/>
  <c r="T511" i="4" s="1"/>
  <c r="P347" i="4"/>
  <c r="Q347" i="4" s="1"/>
  <c r="T347" i="4" s="1"/>
  <c r="P370" i="4"/>
  <c r="Q370" i="4" s="1"/>
  <c r="T370" i="4" s="1"/>
  <c r="P261" i="4"/>
  <c r="Q261" i="4" s="1"/>
  <c r="T261" i="4" s="1"/>
  <c r="P341" i="4"/>
  <c r="Q341" i="4" s="1"/>
  <c r="P346" i="4"/>
  <c r="Q346" i="4" s="1"/>
  <c r="T346" i="4" s="1"/>
  <c r="P340" i="4"/>
  <c r="Q340" i="4" s="1"/>
  <c r="P369" i="4"/>
  <c r="Q369" i="4" s="1"/>
  <c r="P32" i="4"/>
  <c r="Q32" i="4" s="1"/>
  <c r="P260" i="4"/>
  <c r="Q260" i="4" s="1"/>
  <c r="P259" i="4"/>
  <c r="Q259" i="4" s="1"/>
  <c r="P514" i="4"/>
  <c r="Q514" i="4" s="1"/>
  <c r="P368" i="4"/>
  <c r="Q368" i="4" s="1"/>
  <c r="T368" i="4" s="1"/>
  <c r="P345" i="4"/>
  <c r="Q345" i="4" s="1"/>
  <c r="T345" i="4" s="1"/>
  <c r="P339" i="4"/>
  <c r="Q339" i="4" s="1"/>
  <c r="P367" i="4"/>
  <c r="Q367" i="4" s="1"/>
  <c r="P415" i="4"/>
  <c r="Q415" i="4" s="1"/>
  <c r="P30" i="4"/>
  <c r="Q30" i="4" s="1"/>
  <c r="P258" i="4"/>
  <c r="Q258" i="4" s="1"/>
  <c r="T258" i="4" s="1"/>
  <c r="P414" i="4"/>
  <c r="Q414" i="4" s="1"/>
  <c r="T414" i="4" s="1"/>
  <c r="P29" i="4"/>
  <c r="Q29" i="4" s="1"/>
  <c r="P28" i="4"/>
  <c r="Q28" i="4" s="1"/>
  <c r="T28" i="4" s="1"/>
  <c r="P344" i="4"/>
  <c r="Q344" i="4" s="1"/>
  <c r="T344" i="4" s="1"/>
  <c r="P208" i="4"/>
  <c r="Q208" i="4" s="1"/>
  <c r="T208" i="4" s="1"/>
  <c r="P207" i="4"/>
  <c r="Q207" i="4" s="1"/>
  <c r="P343" i="4"/>
  <c r="Q343" i="4" s="1"/>
  <c r="P422" i="4"/>
  <c r="Q422" i="4" s="1"/>
  <c r="P31" i="4"/>
  <c r="Q31" i="4" s="1"/>
  <c r="T31" i="4" s="1"/>
  <c r="D47" i="1"/>
  <c r="AE47" i="1" s="1"/>
  <c r="O434" i="4"/>
  <c r="O437" i="4" s="1"/>
  <c r="O366" i="4"/>
  <c r="O338" i="4"/>
  <c r="N103" i="4"/>
  <c r="Q562" i="4"/>
  <c r="S562" i="4" s="1"/>
  <c r="T562" i="4" s="1"/>
  <c r="U562" i="4" s="1"/>
  <c r="N43" i="4"/>
  <c r="O43" i="4" s="1"/>
  <c r="P43" i="4" s="1"/>
  <c r="P206" i="4"/>
  <c r="P433" i="4"/>
  <c r="P103" i="4"/>
  <c r="L103" i="4"/>
  <c r="T103" i="4" s="1"/>
  <c r="N557" i="4"/>
  <c r="O557" i="4" s="1"/>
  <c r="P557" i="4" s="1"/>
  <c r="K557" i="4"/>
  <c r="N553" i="4"/>
  <c r="O553" i="4" s="1"/>
  <c r="P553" i="4" s="1"/>
  <c r="K553" i="4"/>
  <c r="N552" i="4"/>
  <c r="O552" i="4" s="1"/>
  <c r="P552" i="4" s="1"/>
  <c r="K552" i="4"/>
  <c r="N548" i="4"/>
  <c r="O548" i="4" s="1"/>
  <c r="P548" i="4" s="1"/>
  <c r="K548" i="4"/>
  <c r="N547" i="4"/>
  <c r="O547" i="4" s="1"/>
  <c r="P547" i="4" s="1"/>
  <c r="K547" i="4"/>
  <c r="M543" i="4"/>
  <c r="K543" i="4"/>
  <c r="N542" i="4"/>
  <c r="O542" i="4" s="1"/>
  <c r="P542" i="4" s="1"/>
  <c r="K542" i="4"/>
  <c r="N537" i="4"/>
  <c r="O537" i="4" s="1"/>
  <c r="P537" i="4" s="1"/>
  <c r="K537" i="4"/>
  <c r="N536" i="4"/>
  <c r="O536" i="4" s="1"/>
  <c r="P536" i="4" s="1"/>
  <c r="K536" i="4"/>
  <c r="N535" i="4"/>
  <c r="O535" i="4" s="1"/>
  <c r="P535" i="4" s="1"/>
  <c r="K535" i="4"/>
  <c r="N534" i="4"/>
  <c r="O534" i="4" s="1"/>
  <c r="P534" i="4" s="1"/>
  <c r="K534" i="4"/>
  <c r="N533" i="4"/>
  <c r="O533" i="4" s="1"/>
  <c r="P533" i="4" s="1"/>
  <c r="K533" i="4"/>
  <c r="N510" i="4"/>
  <c r="O510" i="4" s="1"/>
  <c r="P510" i="4" s="1"/>
  <c r="K510" i="4"/>
  <c r="N509" i="4"/>
  <c r="O509" i="4" s="1"/>
  <c r="K509" i="4"/>
  <c r="M508" i="4"/>
  <c r="K508" i="4"/>
  <c r="N507" i="4"/>
  <c r="O507" i="4" s="1"/>
  <c r="P507" i="4" s="1"/>
  <c r="K507" i="4"/>
  <c r="N506" i="4"/>
  <c r="O506" i="4" s="1"/>
  <c r="P506" i="4" s="1"/>
  <c r="K506" i="4"/>
  <c r="N505" i="4"/>
  <c r="O505" i="4" s="1"/>
  <c r="P505" i="4" s="1"/>
  <c r="K505" i="4"/>
  <c r="N504" i="4"/>
  <c r="O504" i="4" s="1"/>
  <c r="P504" i="4" s="1"/>
  <c r="K504" i="4"/>
  <c r="M503" i="4"/>
  <c r="K503" i="4"/>
  <c r="N502" i="4"/>
  <c r="O502" i="4" s="1"/>
  <c r="P502" i="4" s="1"/>
  <c r="K502" i="4"/>
  <c r="N501" i="4"/>
  <c r="O501" i="4" s="1"/>
  <c r="P501" i="4" s="1"/>
  <c r="K501" i="4"/>
  <c r="N500" i="4"/>
  <c r="O500" i="4" s="1"/>
  <c r="P500" i="4" s="1"/>
  <c r="K500" i="4"/>
  <c r="N499" i="4"/>
  <c r="O499" i="4" s="1"/>
  <c r="P499" i="4" s="1"/>
  <c r="K499" i="4"/>
  <c r="N498" i="4"/>
  <c r="O498" i="4" s="1"/>
  <c r="P498" i="4" s="1"/>
  <c r="K498" i="4"/>
  <c r="N497" i="4"/>
  <c r="O497" i="4" s="1"/>
  <c r="P497" i="4" s="1"/>
  <c r="K497" i="4"/>
  <c r="N496" i="4"/>
  <c r="O496" i="4" s="1"/>
  <c r="P496" i="4" s="1"/>
  <c r="K496" i="4"/>
  <c r="N495" i="4"/>
  <c r="K495" i="4"/>
  <c r="M492" i="4"/>
  <c r="B67" i="1" s="1"/>
  <c r="AC67" i="1" s="1"/>
  <c r="N490" i="4"/>
  <c r="O490" i="4" s="1"/>
  <c r="P490" i="4" s="1"/>
  <c r="K490" i="4"/>
  <c r="N489" i="4"/>
  <c r="O489" i="4" s="1"/>
  <c r="P489" i="4" s="1"/>
  <c r="K489" i="4"/>
  <c r="N488" i="4"/>
  <c r="O488" i="4" s="1"/>
  <c r="P488" i="4" s="1"/>
  <c r="K488" i="4"/>
  <c r="N487" i="4"/>
  <c r="O487" i="4" s="1"/>
  <c r="P487" i="4" s="1"/>
  <c r="K487" i="4"/>
  <c r="N566" i="4"/>
  <c r="O566" i="4" s="1"/>
  <c r="P566" i="4" s="1"/>
  <c r="K566" i="4"/>
  <c r="N486" i="4"/>
  <c r="O486" i="4" s="1"/>
  <c r="P486" i="4" s="1"/>
  <c r="K486" i="4"/>
  <c r="N485" i="4"/>
  <c r="O485" i="4" s="1"/>
  <c r="P485" i="4" s="1"/>
  <c r="K485" i="4"/>
  <c r="N484" i="4"/>
  <c r="O484" i="4" s="1"/>
  <c r="P484" i="4" s="1"/>
  <c r="K484" i="4"/>
  <c r="N483" i="4"/>
  <c r="O483" i="4" s="1"/>
  <c r="P483" i="4" s="1"/>
  <c r="K483" i="4"/>
  <c r="N482" i="4"/>
  <c r="K482" i="4"/>
  <c r="N472" i="4"/>
  <c r="O472" i="4" s="1"/>
  <c r="P472" i="4" s="1"/>
  <c r="K472" i="4"/>
  <c r="N471" i="4"/>
  <c r="O471" i="4" s="1"/>
  <c r="P471" i="4" s="1"/>
  <c r="K471" i="4"/>
  <c r="N470" i="4"/>
  <c r="O470" i="4" s="1"/>
  <c r="P470" i="4" s="1"/>
  <c r="K470" i="4"/>
  <c r="N469" i="4"/>
  <c r="O469" i="4" s="1"/>
  <c r="P469" i="4" s="1"/>
  <c r="K469" i="4"/>
  <c r="N468" i="4"/>
  <c r="O468" i="4" s="1"/>
  <c r="P468" i="4" s="1"/>
  <c r="K468" i="4"/>
  <c r="N467" i="4"/>
  <c r="O467" i="4" s="1"/>
  <c r="P467" i="4" s="1"/>
  <c r="K467" i="4"/>
  <c r="N466" i="4"/>
  <c r="O466" i="4" s="1"/>
  <c r="P466" i="4" s="1"/>
  <c r="K466" i="4"/>
  <c r="N465" i="4"/>
  <c r="O465" i="4" s="1"/>
  <c r="P465" i="4" s="1"/>
  <c r="K465" i="4"/>
  <c r="N464" i="4"/>
  <c r="O464" i="4" s="1"/>
  <c r="P464" i="4" s="1"/>
  <c r="K464" i="4"/>
  <c r="K462" i="4"/>
  <c r="N461" i="4"/>
  <c r="O461" i="4" s="1"/>
  <c r="P461" i="4" s="1"/>
  <c r="K461" i="4"/>
  <c r="N460" i="4"/>
  <c r="O460" i="4" s="1"/>
  <c r="P460" i="4" s="1"/>
  <c r="K460" i="4"/>
  <c r="N459" i="4"/>
  <c r="O459" i="4" s="1"/>
  <c r="P459" i="4" s="1"/>
  <c r="K459" i="4"/>
  <c r="M457" i="4"/>
  <c r="N457" i="4" s="1"/>
  <c r="O457" i="4" s="1"/>
  <c r="P457" i="4" s="1"/>
  <c r="K457" i="4"/>
  <c r="N456" i="4"/>
  <c r="O456" i="4" s="1"/>
  <c r="P456" i="4" s="1"/>
  <c r="K456" i="4"/>
  <c r="N455" i="4"/>
  <c r="O455" i="4" s="1"/>
  <c r="P455" i="4" s="1"/>
  <c r="K455" i="4"/>
  <c r="N454" i="4"/>
  <c r="O454" i="4" s="1"/>
  <c r="P454" i="4" s="1"/>
  <c r="K454" i="4"/>
  <c r="N453" i="4"/>
  <c r="O453" i="4" s="1"/>
  <c r="P453" i="4" s="1"/>
  <c r="K453" i="4"/>
  <c r="K451" i="4"/>
  <c r="K449" i="4"/>
  <c r="K447" i="4"/>
  <c r="N446" i="4"/>
  <c r="O446" i="4" s="1"/>
  <c r="P446" i="4" s="1"/>
  <c r="K446" i="4"/>
  <c r="K444" i="4"/>
  <c r="N443" i="4"/>
  <c r="O443" i="4" s="1"/>
  <c r="P443" i="4" s="1"/>
  <c r="K443" i="4"/>
  <c r="K441" i="4"/>
  <c r="N474" i="4"/>
  <c r="O474" i="4" s="1"/>
  <c r="P474" i="4" s="1"/>
  <c r="K474" i="4"/>
  <c r="N473" i="4"/>
  <c r="O473" i="4" s="1"/>
  <c r="P473" i="4" s="1"/>
  <c r="K473" i="4"/>
  <c r="K139" i="4"/>
  <c r="N138" i="4"/>
  <c r="O138" i="4" s="1"/>
  <c r="P138" i="4" s="1"/>
  <c r="K138" i="4"/>
  <c r="M429" i="4"/>
  <c r="B57" i="1" s="1"/>
  <c r="AC57" i="1" s="1"/>
  <c r="N427" i="4"/>
  <c r="N429" i="4" s="1"/>
  <c r="K427" i="4"/>
  <c r="M424" i="4"/>
  <c r="B55" i="1" s="1"/>
  <c r="AC55" i="1" s="1"/>
  <c r="N421" i="4"/>
  <c r="K421" i="4"/>
  <c r="N413" i="4"/>
  <c r="O413" i="4" s="1"/>
  <c r="P413" i="4" s="1"/>
  <c r="K413" i="4"/>
  <c r="N412" i="4"/>
  <c r="O412" i="4" s="1"/>
  <c r="P412" i="4" s="1"/>
  <c r="K412" i="4"/>
  <c r="N411" i="4"/>
  <c r="O411" i="4" s="1"/>
  <c r="P411" i="4" s="1"/>
  <c r="K411" i="4"/>
  <c r="N410" i="4"/>
  <c r="K410" i="4"/>
  <c r="M405" i="4"/>
  <c r="B51" i="1" s="1"/>
  <c r="AC51" i="1" s="1"/>
  <c r="N403" i="4"/>
  <c r="O403" i="4" s="1"/>
  <c r="P403" i="4" s="1"/>
  <c r="K403" i="4"/>
  <c r="N402" i="4"/>
  <c r="O402" i="4" s="1"/>
  <c r="P402" i="4" s="1"/>
  <c r="K402" i="4"/>
  <c r="N401" i="4"/>
  <c r="O401" i="4" s="1"/>
  <c r="P401" i="4" s="1"/>
  <c r="K401" i="4"/>
  <c r="N400" i="4"/>
  <c r="K400" i="4"/>
  <c r="N395" i="4"/>
  <c r="O395" i="4" s="1"/>
  <c r="K395" i="4"/>
  <c r="M394" i="4"/>
  <c r="N394" i="4" s="1"/>
  <c r="O394" i="4" s="1"/>
  <c r="K394" i="4"/>
  <c r="N393" i="4"/>
  <c r="O393" i="4" s="1"/>
  <c r="K393" i="4"/>
  <c r="N392" i="4"/>
  <c r="O392" i="4" s="1"/>
  <c r="K392" i="4"/>
  <c r="N391" i="4"/>
  <c r="O391" i="4" s="1"/>
  <c r="P391" i="4" s="1"/>
  <c r="K391" i="4"/>
  <c r="N390" i="4"/>
  <c r="O390" i="4" s="1"/>
  <c r="P390" i="4" s="1"/>
  <c r="K390" i="4"/>
  <c r="M389" i="4"/>
  <c r="N389" i="4" s="1"/>
  <c r="O389" i="4" s="1"/>
  <c r="P389" i="4" s="1"/>
  <c r="K389" i="4"/>
  <c r="N388" i="4"/>
  <c r="O388" i="4" s="1"/>
  <c r="P388" i="4" s="1"/>
  <c r="K388" i="4"/>
  <c r="N387" i="4"/>
  <c r="O387" i="4" s="1"/>
  <c r="P387" i="4" s="1"/>
  <c r="K387" i="4"/>
  <c r="M386" i="4"/>
  <c r="K386" i="4"/>
  <c r="N385" i="4"/>
  <c r="K385" i="4"/>
  <c r="N333" i="4"/>
  <c r="O333" i="4" s="1"/>
  <c r="K333" i="4"/>
  <c r="N332" i="4"/>
  <c r="O332" i="4" s="1"/>
  <c r="K332" i="4"/>
  <c r="N331" i="4"/>
  <c r="O331" i="4" s="1"/>
  <c r="K331" i="4"/>
  <c r="N330" i="4"/>
  <c r="O330" i="4" s="1"/>
  <c r="K330" i="4"/>
  <c r="N329" i="4"/>
  <c r="O329" i="4" s="1"/>
  <c r="K329" i="4"/>
  <c r="N328" i="4"/>
  <c r="O328" i="4" s="1"/>
  <c r="K328" i="4"/>
  <c r="N327" i="4"/>
  <c r="O327" i="4" s="1"/>
  <c r="K327" i="4"/>
  <c r="N326" i="4"/>
  <c r="O326" i="4" s="1"/>
  <c r="P326" i="4" s="1"/>
  <c r="K326" i="4"/>
  <c r="N325" i="4"/>
  <c r="O325" i="4" s="1"/>
  <c r="P325" i="4" s="1"/>
  <c r="K325" i="4"/>
  <c r="N324" i="4"/>
  <c r="O324" i="4" s="1"/>
  <c r="P324" i="4" s="1"/>
  <c r="K324" i="4"/>
  <c r="M323" i="4"/>
  <c r="M335" i="4" s="1"/>
  <c r="B43" i="1" s="1"/>
  <c r="AC43" i="1" s="1"/>
  <c r="K323" i="4"/>
  <c r="N318" i="4"/>
  <c r="O318" i="4" s="1"/>
  <c r="K318" i="4"/>
  <c r="N317" i="4"/>
  <c r="O317" i="4" s="1"/>
  <c r="K317" i="4"/>
  <c r="N316" i="4"/>
  <c r="O316" i="4" s="1"/>
  <c r="K316" i="4"/>
  <c r="N315" i="4"/>
  <c r="O315" i="4" s="1"/>
  <c r="K315" i="4"/>
  <c r="N314" i="4"/>
  <c r="O314" i="4" s="1"/>
  <c r="K314" i="4"/>
  <c r="N313" i="4"/>
  <c r="O313" i="4" s="1"/>
  <c r="K313" i="4"/>
  <c r="M312" i="4"/>
  <c r="N312" i="4" s="1"/>
  <c r="O312" i="4" s="1"/>
  <c r="K312" i="4"/>
  <c r="N311" i="4"/>
  <c r="O311" i="4" s="1"/>
  <c r="K311" i="4"/>
  <c r="N310" i="4"/>
  <c r="O310" i="4" s="1"/>
  <c r="K310" i="4"/>
  <c r="N309" i="4"/>
  <c r="O309" i="4" s="1"/>
  <c r="K309" i="4"/>
  <c r="N308" i="4"/>
  <c r="O308" i="4" s="1"/>
  <c r="K308" i="4"/>
  <c r="N307" i="4"/>
  <c r="O307" i="4" s="1"/>
  <c r="P307" i="4" s="1"/>
  <c r="K307" i="4"/>
  <c r="N306" i="4"/>
  <c r="O306" i="4" s="1"/>
  <c r="P306" i="4" s="1"/>
  <c r="K306" i="4"/>
  <c r="N305" i="4"/>
  <c r="O305" i="4" s="1"/>
  <c r="P305" i="4" s="1"/>
  <c r="K305" i="4"/>
  <c r="N304" i="4"/>
  <c r="O304" i="4" s="1"/>
  <c r="P304" i="4" s="1"/>
  <c r="K304" i="4"/>
  <c r="N303" i="4"/>
  <c r="O303" i="4" s="1"/>
  <c r="P303" i="4" s="1"/>
  <c r="K303" i="4"/>
  <c r="N302" i="4"/>
  <c r="O302" i="4" s="1"/>
  <c r="P302" i="4" s="1"/>
  <c r="K302" i="4"/>
  <c r="N301" i="4"/>
  <c r="O301" i="4" s="1"/>
  <c r="P301" i="4" s="1"/>
  <c r="K301" i="4"/>
  <c r="N300" i="4"/>
  <c r="O300" i="4" s="1"/>
  <c r="P300" i="4" s="1"/>
  <c r="K300" i="4"/>
  <c r="M299" i="4"/>
  <c r="N299" i="4" s="1"/>
  <c r="O299" i="4" s="1"/>
  <c r="P299" i="4" s="1"/>
  <c r="K299" i="4"/>
  <c r="D299" i="4"/>
  <c r="D320" i="4" s="1"/>
  <c r="N298" i="4"/>
  <c r="O298" i="4" s="1"/>
  <c r="P298" i="4" s="1"/>
  <c r="K298" i="4"/>
  <c r="N297" i="4"/>
  <c r="O297" i="4" s="1"/>
  <c r="P297" i="4" s="1"/>
  <c r="K297" i="4"/>
  <c r="N296" i="4"/>
  <c r="O296" i="4" s="1"/>
  <c r="P296" i="4" s="1"/>
  <c r="K296" i="4"/>
  <c r="N295" i="4"/>
  <c r="O295" i="4" s="1"/>
  <c r="P295" i="4" s="1"/>
  <c r="K295" i="4"/>
  <c r="N294" i="4"/>
  <c r="O294" i="4" s="1"/>
  <c r="P294" i="4" s="1"/>
  <c r="K294" i="4"/>
  <c r="N293" i="4"/>
  <c r="O293" i="4" s="1"/>
  <c r="P293" i="4" s="1"/>
  <c r="K293" i="4"/>
  <c r="N292" i="4"/>
  <c r="O292" i="4" s="1"/>
  <c r="P292" i="4" s="1"/>
  <c r="K292" i="4"/>
  <c r="N291" i="4"/>
  <c r="O291" i="4" s="1"/>
  <c r="P291" i="4" s="1"/>
  <c r="K291" i="4"/>
  <c r="N290" i="4"/>
  <c r="O290" i="4" s="1"/>
  <c r="P290" i="4" s="1"/>
  <c r="K290" i="4"/>
  <c r="M289" i="4"/>
  <c r="N289" i="4" s="1"/>
  <c r="O289" i="4" s="1"/>
  <c r="P289" i="4" s="1"/>
  <c r="K289" i="4"/>
  <c r="M288" i="4"/>
  <c r="N288" i="4" s="1"/>
  <c r="O288" i="4" s="1"/>
  <c r="P288" i="4" s="1"/>
  <c r="K288" i="4"/>
  <c r="N287" i="4"/>
  <c r="O287" i="4" s="1"/>
  <c r="P287" i="4" s="1"/>
  <c r="K287" i="4"/>
  <c r="M286" i="4"/>
  <c r="N286" i="4" s="1"/>
  <c r="O286" i="4" s="1"/>
  <c r="P286" i="4" s="1"/>
  <c r="K286" i="4"/>
  <c r="N285" i="4"/>
  <c r="O285" i="4" s="1"/>
  <c r="P285" i="4" s="1"/>
  <c r="K285" i="4"/>
  <c r="N284" i="4"/>
  <c r="O284" i="4" s="1"/>
  <c r="P284" i="4" s="1"/>
  <c r="K284" i="4"/>
  <c r="M283" i="4"/>
  <c r="N283" i="4" s="1"/>
  <c r="O283" i="4" s="1"/>
  <c r="P283" i="4" s="1"/>
  <c r="K283" i="4"/>
  <c r="N282" i="4"/>
  <c r="O282" i="4" s="1"/>
  <c r="P282" i="4" s="1"/>
  <c r="K282" i="4"/>
  <c r="N281" i="4"/>
  <c r="O281" i="4" s="1"/>
  <c r="P281" i="4" s="1"/>
  <c r="K281" i="4"/>
  <c r="M280" i="4"/>
  <c r="N280" i="4" s="1"/>
  <c r="O280" i="4" s="1"/>
  <c r="P280" i="4" s="1"/>
  <c r="K280" i="4"/>
  <c r="M279" i="4"/>
  <c r="N279" i="4" s="1"/>
  <c r="K279" i="4"/>
  <c r="N278" i="4"/>
  <c r="O278" i="4" s="1"/>
  <c r="P278" i="4" s="1"/>
  <c r="K278" i="4"/>
  <c r="M277" i="4"/>
  <c r="K277" i="4"/>
  <c r="D274" i="4"/>
  <c r="N257" i="4"/>
  <c r="O257" i="4" s="1"/>
  <c r="K257" i="4"/>
  <c r="N256" i="4"/>
  <c r="O256" i="4" s="1"/>
  <c r="K256" i="4"/>
  <c r="N255" i="4"/>
  <c r="O255" i="4" s="1"/>
  <c r="K255" i="4"/>
  <c r="N254" i="4"/>
  <c r="O254" i="4" s="1"/>
  <c r="P254" i="4" s="1"/>
  <c r="K254" i="4"/>
  <c r="N253" i="4"/>
  <c r="O253" i="4" s="1"/>
  <c r="K253" i="4"/>
  <c r="N252" i="4"/>
  <c r="O252" i="4" s="1"/>
  <c r="K252" i="4"/>
  <c r="N251" i="4"/>
  <c r="O251" i="4" s="1"/>
  <c r="P251" i="4" s="1"/>
  <c r="K251" i="4"/>
  <c r="N250" i="4"/>
  <c r="O250" i="4" s="1"/>
  <c r="P250" i="4" s="1"/>
  <c r="K250" i="4"/>
  <c r="N249" i="4"/>
  <c r="O249" i="4" s="1"/>
  <c r="P249" i="4" s="1"/>
  <c r="K249" i="4"/>
  <c r="N248" i="4"/>
  <c r="O248" i="4" s="1"/>
  <c r="P248" i="4" s="1"/>
  <c r="K248" i="4"/>
  <c r="N247" i="4"/>
  <c r="O247" i="4" s="1"/>
  <c r="P247" i="4" s="1"/>
  <c r="K247" i="4"/>
  <c r="N246" i="4"/>
  <c r="O246" i="4" s="1"/>
  <c r="P246" i="4" s="1"/>
  <c r="K246" i="4"/>
  <c r="N242" i="4"/>
  <c r="O242" i="4" s="1"/>
  <c r="P242" i="4" s="1"/>
  <c r="K242" i="4"/>
  <c r="N241" i="4"/>
  <c r="O241" i="4" s="1"/>
  <c r="P241" i="4" s="1"/>
  <c r="K241" i="4"/>
  <c r="N240" i="4"/>
  <c r="O240" i="4" s="1"/>
  <c r="P240" i="4" s="1"/>
  <c r="K240" i="4"/>
  <c r="M239" i="4"/>
  <c r="N239" i="4" s="1"/>
  <c r="O239" i="4" s="1"/>
  <c r="P239" i="4" s="1"/>
  <c r="K239" i="4"/>
  <c r="N238" i="4"/>
  <c r="O238" i="4" s="1"/>
  <c r="P238" i="4" s="1"/>
  <c r="K238" i="4"/>
  <c r="N237" i="4"/>
  <c r="O237" i="4" s="1"/>
  <c r="P237" i="4" s="1"/>
  <c r="K237" i="4"/>
  <c r="N236" i="4"/>
  <c r="O236" i="4" s="1"/>
  <c r="P236" i="4" s="1"/>
  <c r="K236" i="4"/>
  <c r="N235" i="4"/>
  <c r="O235" i="4" s="1"/>
  <c r="P235" i="4" s="1"/>
  <c r="K235" i="4"/>
  <c r="N234" i="4"/>
  <c r="O234" i="4" s="1"/>
  <c r="P234" i="4" s="1"/>
  <c r="K234" i="4"/>
  <c r="N233" i="4"/>
  <c r="O233" i="4" s="1"/>
  <c r="P233" i="4" s="1"/>
  <c r="K233" i="4"/>
  <c r="N232" i="4"/>
  <c r="O232" i="4" s="1"/>
  <c r="P232" i="4" s="1"/>
  <c r="K232" i="4"/>
  <c r="M231" i="4"/>
  <c r="N231" i="4" s="1"/>
  <c r="O231" i="4" s="1"/>
  <c r="P231" i="4" s="1"/>
  <c r="K231" i="4"/>
  <c r="M230" i="4"/>
  <c r="K230" i="4"/>
  <c r="N229" i="4"/>
  <c r="O229" i="4" s="1"/>
  <c r="P229" i="4" s="1"/>
  <c r="K229" i="4"/>
  <c r="N228" i="4"/>
  <c r="O228" i="4" s="1"/>
  <c r="P228" i="4" s="1"/>
  <c r="K228" i="4"/>
  <c r="N227" i="4"/>
  <c r="O227" i="4" s="1"/>
  <c r="P227" i="4" s="1"/>
  <c r="K227" i="4"/>
  <c r="N226" i="4"/>
  <c r="O226" i="4" s="1"/>
  <c r="P226" i="4" s="1"/>
  <c r="K226" i="4"/>
  <c r="N225" i="4"/>
  <c r="O225" i="4" s="1"/>
  <c r="P225" i="4" s="1"/>
  <c r="K225" i="4"/>
  <c r="N224" i="4"/>
  <c r="O224" i="4" s="1"/>
  <c r="P224" i="4" s="1"/>
  <c r="K224" i="4"/>
  <c r="N223" i="4"/>
  <c r="O223" i="4" s="1"/>
  <c r="P223" i="4" s="1"/>
  <c r="K223" i="4"/>
  <c r="N222" i="4"/>
  <c r="O222" i="4" s="1"/>
  <c r="P222" i="4" s="1"/>
  <c r="K222" i="4"/>
  <c r="M221" i="4"/>
  <c r="N221" i="4" s="1"/>
  <c r="O221" i="4" s="1"/>
  <c r="P221" i="4" s="1"/>
  <c r="K221" i="4"/>
  <c r="N565" i="4"/>
  <c r="O565" i="4" s="1"/>
  <c r="P565" i="4" s="1"/>
  <c r="K565" i="4"/>
  <c r="N220" i="4"/>
  <c r="O220" i="4" s="1"/>
  <c r="P220" i="4" s="1"/>
  <c r="K220" i="4"/>
  <c r="N219" i="4"/>
  <c r="O219" i="4" s="1"/>
  <c r="P219" i="4" s="1"/>
  <c r="K219" i="4"/>
  <c r="N218" i="4"/>
  <c r="O218" i="4" s="1"/>
  <c r="P218" i="4" s="1"/>
  <c r="K218" i="4"/>
  <c r="N217" i="4"/>
  <c r="K217" i="4"/>
  <c r="N204" i="4"/>
  <c r="O204" i="4" s="1"/>
  <c r="K204" i="4"/>
  <c r="N203" i="4"/>
  <c r="O203" i="4" s="1"/>
  <c r="K203" i="4"/>
  <c r="N202" i="4"/>
  <c r="O202" i="4" s="1"/>
  <c r="K202" i="4"/>
  <c r="N201" i="4"/>
  <c r="O201" i="4" s="1"/>
  <c r="K201" i="4"/>
  <c r="M200" i="4"/>
  <c r="K200" i="4"/>
  <c r="D200" i="4"/>
  <c r="M199" i="4"/>
  <c r="N199" i="4" s="1"/>
  <c r="O199" i="4" s="1"/>
  <c r="K199" i="4"/>
  <c r="D199" i="4"/>
  <c r="N198" i="4"/>
  <c r="O198" i="4" s="1"/>
  <c r="K198" i="4"/>
  <c r="N197" i="4"/>
  <c r="O197" i="4" s="1"/>
  <c r="K197" i="4"/>
  <c r="N196" i="4"/>
  <c r="O196" i="4" s="1"/>
  <c r="K196" i="4"/>
  <c r="N195" i="4"/>
  <c r="O195" i="4" s="1"/>
  <c r="K195" i="4"/>
  <c r="N194" i="4"/>
  <c r="O194" i="4" s="1"/>
  <c r="K194" i="4"/>
  <c r="N193" i="4"/>
  <c r="O193" i="4" s="1"/>
  <c r="K193" i="4"/>
  <c r="N192" i="4"/>
  <c r="O192" i="4" s="1"/>
  <c r="K192" i="4"/>
  <c r="N191" i="4"/>
  <c r="O191" i="4" s="1"/>
  <c r="P191" i="4" s="1"/>
  <c r="K191" i="4"/>
  <c r="N189" i="4"/>
  <c r="O189" i="4" s="1"/>
  <c r="P189" i="4" s="1"/>
  <c r="K189" i="4"/>
  <c r="N188" i="4"/>
  <c r="O188" i="4" s="1"/>
  <c r="P188" i="4" s="1"/>
  <c r="K188" i="4"/>
  <c r="M187" i="4"/>
  <c r="N187" i="4" s="1"/>
  <c r="O187" i="4" s="1"/>
  <c r="P187" i="4" s="1"/>
  <c r="K187" i="4"/>
  <c r="N186" i="4"/>
  <c r="O186" i="4" s="1"/>
  <c r="P186" i="4" s="1"/>
  <c r="K186" i="4"/>
  <c r="N185" i="4"/>
  <c r="O185" i="4" s="1"/>
  <c r="P185" i="4" s="1"/>
  <c r="K185" i="4"/>
  <c r="N184" i="4"/>
  <c r="O184" i="4" s="1"/>
  <c r="P184" i="4" s="1"/>
  <c r="K184" i="4"/>
  <c r="M182" i="4"/>
  <c r="N182" i="4" s="1"/>
  <c r="O182" i="4" s="1"/>
  <c r="P182" i="4" s="1"/>
  <c r="K182" i="4"/>
  <c r="M181" i="4"/>
  <c r="N181" i="4" s="1"/>
  <c r="O181" i="4" s="1"/>
  <c r="P181" i="4" s="1"/>
  <c r="K181" i="4"/>
  <c r="M180" i="4"/>
  <c r="N180" i="4" s="1"/>
  <c r="O180" i="4" s="1"/>
  <c r="P180" i="4" s="1"/>
  <c r="K180" i="4"/>
  <c r="M179" i="4"/>
  <c r="N179" i="4" s="1"/>
  <c r="O179" i="4" s="1"/>
  <c r="P179" i="4" s="1"/>
  <c r="K179" i="4"/>
  <c r="N178" i="4"/>
  <c r="O178" i="4" s="1"/>
  <c r="P178" i="4" s="1"/>
  <c r="K178" i="4"/>
  <c r="N177" i="4"/>
  <c r="O177" i="4" s="1"/>
  <c r="P177" i="4" s="1"/>
  <c r="K177" i="4"/>
  <c r="M176" i="4"/>
  <c r="N176" i="4" s="1"/>
  <c r="O176" i="4" s="1"/>
  <c r="P176" i="4" s="1"/>
  <c r="K176" i="4"/>
  <c r="M175" i="4"/>
  <c r="N175" i="4" s="1"/>
  <c r="O175" i="4" s="1"/>
  <c r="P175" i="4" s="1"/>
  <c r="K175" i="4"/>
  <c r="N174" i="4"/>
  <c r="O174" i="4" s="1"/>
  <c r="P174" i="4" s="1"/>
  <c r="K174" i="4"/>
  <c r="N173" i="4"/>
  <c r="O173" i="4" s="1"/>
  <c r="P173" i="4" s="1"/>
  <c r="K173" i="4"/>
  <c r="M172" i="4"/>
  <c r="N172" i="4" s="1"/>
  <c r="O172" i="4" s="1"/>
  <c r="P172" i="4" s="1"/>
  <c r="K172" i="4"/>
  <c r="N171" i="4"/>
  <c r="O171" i="4" s="1"/>
  <c r="P171" i="4" s="1"/>
  <c r="K171" i="4"/>
  <c r="N170" i="4"/>
  <c r="O170" i="4" s="1"/>
  <c r="P170" i="4" s="1"/>
  <c r="K170" i="4"/>
  <c r="M169" i="4"/>
  <c r="N169" i="4" s="1"/>
  <c r="O169" i="4" s="1"/>
  <c r="P169" i="4" s="1"/>
  <c r="K169" i="4"/>
  <c r="N168" i="4"/>
  <c r="O168" i="4" s="1"/>
  <c r="P168" i="4" s="1"/>
  <c r="K168" i="4"/>
  <c r="N167" i="4"/>
  <c r="O167" i="4" s="1"/>
  <c r="P167" i="4" s="1"/>
  <c r="K167" i="4"/>
  <c r="N166" i="4"/>
  <c r="O166" i="4" s="1"/>
  <c r="P166" i="4" s="1"/>
  <c r="K166" i="4"/>
  <c r="N165" i="4"/>
  <c r="O165" i="4" s="1"/>
  <c r="P165" i="4" s="1"/>
  <c r="K165" i="4"/>
  <c r="M164" i="4"/>
  <c r="K164" i="4"/>
  <c r="N163" i="4"/>
  <c r="O163" i="4" s="1"/>
  <c r="P163" i="4" s="1"/>
  <c r="K163" i="4"/>
  <c r="N162" i="4"/>
  <c r="O162" i="4" s="1"/>
  <c r="P162" i="4" s="1"/>
  <c r="K162" i="4"/>
  <c r="N161" i="4"/>
  <c r="O161" i="4" s="1"/>
  <c r="P161" i="4" s="1"/>
  <c r="K161" i="4"/>
  <c r="N160" i="4"/>
  <c r="O160" i="4" s="1"/>
  <c r="P160" i="4" s="1"/>
  <c r="K160" i="4"/>
  <c r="N159" i="4"/>
  <c r="O159" i="4" s="1"/>
  <c r="P159" i="4" s="1"/>
  <c r="K159" i="4"/>
  <c r="N158" i="4"/>
  <c r="K158" i="4"/>
  <c r="N572" i="4"/>
  <c r="O572" i="4" s="1"/>
  <c r="P572" i="4" s="1"/>
  <c r="K572" i="4"/>
  <c r="N574" i="4"/>
  <c r="O574" i="4" s="1"/>
  <c r="P574" i="4" s="1"/>
  <c r="K574" i="4"/>
  <c r="N589" i="4"/>
  <c r="O589" i="4" s="1"/>
  <c r="P589" i="4" s="1"/>
  <c r="K589" i="4"/>
  <c r="N121" i="4"/>
  <c r="O121" i="4" s="1"/>
  <c r="K121" i="4"/>
  <c r="N131" i="4"/>
  <c r="O131" i="4" s="1"/>
  <c r="P131" i="4" s="1"/>
  <c r="K131" i="4"/>
  <c r="N130" i="4"/>
  <c r="O130" i="4" s="1"/>
  <c r="K130" i="4"/>
  <c r="N573" i="4"/>
  <c r="O573" i="4" s="1"/>
  <c r="P573" i="4" s="1"/>
  <c r="K573" i="4"/>
  <c r="N120" i="4"/>
  <c r="O120" i="4" s="1"/>
  <c r="K120" i="4"/>
  <c r="N588" i="4"/>
  <c r="O588" i="4" s="1"/>
  <c r="P588" i="4" s="1"/>
  <c r="K588" i="4"/>
  <c r="N571" i="4"/>
  <c r="O571" i="4" s="1"/>
  <c r="P571" i="4" s="1"/>
  <c r="K571" i="4"/>
  <c r="N119" i="4"/>
  <c r="O119" i="4" s="1"/>
  <c r="K119" i="4"/>
  <c r="N118" i="4"/>
  <c r="O118" i="4" s="1"/>
  <c r="K118" i="4"/>
  <c r="M117" i="4"/>
  <c r="N117" i="4" s="1"/>
  <c r="O117" i="4" s="1"/>
  <c r="P117" i="4" s="1"/>
  <c r="K117" i="4"/>
  <c r="M116" i="4"/>
  <c r="N116" i="4" s="1"/>
  <c r="O116" i="4" s="1"/>
  <c r="P116" i="4" s="1"/>
  <c r="K116" i="4"/>
  <c r="M115" i="4"/>
  <c r="N115" i="4" s="1"/>
  <c r="O115" i="4" s="1"/>
  <c r="P115" i="4" s="1"/>
  <c r="K115" i="4"/>
  <c r="K113" i="4"/>
  <c r="K111" i="4"/>
  <c r="K598" i="4"/>
  <c r="K126" i="4"/>
  <c r="K41" i="4"/>
  <c r="M95" i="4"/>
  <c r="N95" i="4" s="1"/>
  <c r="O95" i="4" s="1"/>
  <c r="P95" i="4" s="1"/>
  <c r="K95" i="4"/>
  <c r="N94" i="4"/>
  <c r="O94" i="4" s="1"/>
  <c r="P94" i="4" s="1"/>
  <c r="K94" i="4"/>
  <c r="M93" i="4"/>
  <c r="N93" i="4" s="1"/>
  <c r="O93" i="4" s="1"/>
  <c r="P93" i="4" s="1"/>
  <c r="K93" i="4"/>
  <c r="M92" i="4"/>
  <c r="N92" i="4" s="1"/>
  <c r="O92" i="4" s="1"/>
  <c r="P92" i="4" s="1"/>
  <c r="K92" i="4"/>
  <c r="K143" i="4"/>
  <c r="K149" i="4"/>
  <c r="K77" i="4"/>
  <c r="K136" i="4"/>
  <c r="K141" i="4"/>
  <c r="K89" i="4"/>
  <c r="N84" i="4"/>
  <c r="O84" i="4" s="1"/>
  <c r="P84" i="4" s="1"/>
  <c r="K84" i="4"/>
  <c r="N83" i="4"/>
  <c r="O83" i="4" s="1"/>
  <c r="P83" i="4" s="1"/>
  <c r="K83" i="4"/>
  <c r="N82" i="4"/>
  <c r="O82" i="4" s="1"/>
  <c r="P82" i="4" s="1"/>
  <c r="K82" i="4"/>
  <c r="N81" i="4"/>
  <c r="O81" i="4" s="1"/>
  <c r="P81" i="4" s="1"/>
  <c r="K81" i="4"/>
  <c r="K79" i="4"/>
  <c r="N75" i="4"/>
  <c r="O75" i="4" s="1"/>
  <c r="P75" i="4" s="1"/>
  <c r="K75" i="4"/>
  <c r="N74" i="4"/>
  <c r="O74" i="4" s="1"/>
  <c r="P74" i="4" s="1"/>
  <c r="K74" i="4"/>
  <c r="N73" i="4"/>
  <c r="O73" i="4" s="1"/>
  <c r="P73" i="4" s="1"/>
  <c r="K73" i="4"/>
  <c r="N72" i="4"/>
  <c r="O72" i="4" s="1"/>
  <c r="P72" i="4" s="1"/>
  <c r="K72" i="4"/>
  <c r="O71" i="4"/>
  <c r="K71" i="4"/>
  <c r="M66" i="4"/>
  <c r="N66" i="4" s="1"/>
  <c r="O66" i="4" s="1"/>
  <c r="P66" i="4" s="1"/>
  <c r="K66" i="4"/>
  <c r="M65" i="4"/>
  <c r="N65" i="4" s="1"/>
  <c r="O65" i="4" s="1"/>
  <c r="P65" i="4" s="1"/>
  <c r="K65" i="4"/>
  <c r="M64" i="4"/>
  <c r="N64" i="4" s="1"/>
  <c r="O64" i="4" s="1"/>
  <c r="P64" i="4" s="1"/>
  <c r="K64" i="4"/>
  <c r="N63" i="4"/>
  <c r="O63" i="4" s="1"/>
  <c r="P63" i="4" s="1"/>
  <c r="K63" i="4"/>
  <c r="K61" i="4"/>
  <c r="M60" i="4"/>
  <c r="N60" i="4" s="1"/>
  <c r="O60" i="4" s="1"/>
  <c r="P60" i="4" s="1"/>
  <c r="K60" i="4"/>
  <c r="K58" i="4"/>
  <c r="K56" i="4"/>
  <c r="K53" i="4"/>
  <c r="K51" i="4"/>
  <c r="M44" i="4"/>
  <c r="K44" i="4"/>
  <c r="N91" i="4"/>
  <c r="O91" i="4" s="1"/>
  <c r="K91" i="4"/>
  <c r="M27" i="4"/>
  <c r="N27" i="4" s="1"/>
  <c r="O27" i="4" s="1"/>
  <c r="P27" i="4" s="1"/>
  <c r="K27" i="4"/>
  <c r="N26" i="4"/>
  <c r="O26" i="4" s="1"/>
  <c r="K26" i="4"/>
  <c r="M25" i="4"/>
  <c r="N25" i="4" s="1"/>
  <c r="O25" i="4" s="1"/>
  <c r="P25" i="4" s="1"/>
  <c r="K25" i="4"/>
  <c r="M24" i="4"/>
  <c r="K24" i="4"/>
  <c r="N151" i="4"/>
  <c r="O151" i="4" s="1"/>
  <c r="P151" i="4" s="1"/>
  <c r="K151" i="4"/>
  <c r="K21" i="4"/>
  <c r="K128" i="4"/>
  <c r="K109" i="4"/>
  <c r="K107" i="4"/>
  <c r="K563" i="4"/>
  <c r="K575" i="4"/>
  <c r="K560" i="4"/>
  <c r="K19" i="4"/>
  <c r="K17" i="4"/>
  <c r="K15" i="4"/>
  <c r="N14" i="4"/>
  <c r="O14" i="4" s="1"/>
  <c r="P14" i="4" s="1"/>
  <c r="K14" i="4"/>
  <c r="K12" i="4"/>
  <c r="K145" i="4"/>
  <c r="N11" i="4"/>
  <c r="K11" i="4"/>
  <c r="K147" i="4"/>
  <c r="L147" i="4" s="1"/>
  <c r="A3" i="4"/>
  <c r="T415" i="4" l="1"/>
  <c r="T30" i="4"/>
  <c r="T207" i="4"/>
  <c r="U207" i="4" s="1"/>
  <c r="T341" i="4"/>
  <c r="T339" i="4"/>
  <c r="T514" i="4"/>
  <c r="T262" i="4"/>
  <c r="T29" i="4"/>
  <c r="U29" i="4" s="1"/>
  <c r="T422" i="4"/>
  <c r="T340" i="4"/>
  <c r="U340" i="4" s="1"/>
  <c r="T259" i="4"/>
  <c r="U259" i="4" s="1"/>
  <c r="T512" i="4"/>
  <c r="U512" i="4" s="1"/>
  <c r="T32" i="4"/>
  <c r="U32" i="4" s="1"/>
  <c r="T342" i="4"/>
  <c r="U342" i="4" s="1"/>
  <c r="T343" i="4"/>
  <c r="U343" i="4" s="1"/>
  <c r="T369" i="4"/>
  <c r="T205" i="4"/>
  <c r="U205" i="4" s="1"/>
  <c r="T367" i="4"/>
  <c r="T260" i="4"/>
  <c r="U260" i="4" s="1"/>
  <c r="U414" i="4"/>
  <c r="U514" i="4"/>
  <c r="U261" i="4"/>
  <c r="U30" i="4"/>
  <c r="U347" i="4"/>
  <c r="U511" i="4"/>
  <c r="U208" i="4"/>
  <c r="U476" i="4"/>
  <c r="Q437" i="4"/>
  <c r="U368" i="4"/>
  <c r="U31" i="4"/>
  <c r="U348" i="4"/>
  <c r="U258" i="4"/>
  <c r="U370" i="4"/>
  <c r="O158" i="4"/>
  <c r="S338" i="4"/>
  <c r="S363" i="4" s="1"/>
  <c r="O363" i="4"/>
  <c r="O495" i="4"/>
  <c r="S366" i="4"/>
  <c r="S378" i="4" s="1"/>
  <c r="O378" i="4"/>
  <c r="O217" i="4"/>
  <c r="O400" i="4"/>
  <c r="N405" i="4"/>
  <c r="N418" i="4"/>
  <c r="N424" i="4"/>
  <c r="D55" i="1" s="1"/>
  <c r="AE55" i="1" s="1"/>
  <c r="O482" i="4"/>
  <c r="N492" i="4"/>
  <c r="D67" i="1" s="1"/>
  <c r="AE67" i="1" s="1"/>
  <c r="U206" i="4"/>
  <c r="O11" i="4"/>
  <c r="U475" i="4"/>
  <c r="U345" i="4"/>
  <c r="U369" i="4"/>
  <c r="U346" i="4"/>
  <c r="U415" i="4"/>
  <c r="U341" i="4"/>
  <c r="U367" i="4"/>
  <c r="U422" i="4"/>
  <c r="U339" i="4"/>
  <c r="U28" i="4"/>
  <c r="U344" i="4"/>
  <c r="S103" i="4"/>
  <c r="Q103" i="4"/>
  <c r="U23" i="4"/>
  <c r="U513" i="4"/>
  <c r="U43" i="4"/>
  <c r="U262" i="4"/>
  <c r="Q147" i="4"/>
  <c r="P121" i="4"/>
  <c r="P192" i="4"/>
  <c r="P198" i="4"/>
  <c r="P203" i="4"/>
  <c r="P253" i="4"/>
  <c r="P313" i="4"/>
  <c r="P329" i="4"/>
  <c r="P392" i="4"/>
  <c r="P509" i="4"/>
  <c r="P26" i="4"/>
  <c r="P193" i="4"/>
  <c r="P204" i="4"/>
  <c r="P308" i="4"/>
  <c r="P314" i="4"/>
  <c r="P330" i="4"/>
  <c r="P393" i="4"/>
  <c r="P199" i="4"/>
  <c r="P91" i="4"/>
  <c r="P120" i="4"/>
  <c r="P194" i="4"/>
  <c r="P255" i="4"/>
  <c r="P309" i="4"/>
  <c r="P315" i="4"/>
  <c r="P331" i="4"/>
  <c r="P394" i="4"/>
  <c r="P195" i="4"/>
  <c r="P256" i="4"/>
  <c r="P310" i="4"/>
  <c r="P316" i="4"/>
  <c r="P332" i="4"/>
  <c r="P395" i="4"/>
  <c r="P118" i="4"/>
  <c r="P130" i="4"/>
  <c r="P196" i="4"/>
  <c r="P201" i="4"/>
  <c r="P257" i="4"/>
  <c r="P311" i="4"/>
  <c r="P317" i="4"/>
  <c r="P327" i="4"/>
  <c r="P333" i="4"/>
  <c r="P119" i="4"/>
  <c r="P197" i="4"/>
  <c r="P202" i="4"/>
  <c r="P252" i="4"/>
  <c r="P312" i="4"/>
  <c r="P318" i="4"/>
  <c r="P328" i="4"/>
  <c r="P434" i="4"/>
  <c r="P437" i="4" s="1"/>
  <c r="C47" i="1"/>
  <c r="AD47" i="1" s="1"/>
  <c r="C45" i="1"/>
  <c r="AD45" i="1" s="1"/>
  <c r="P366" i="4"/>
  <c r="P338" i="4"/>
  <c r="N543" i="4"/>
  <c r="O543" i="4" s="1"/>
  <c r="P543" i="4" s="1"/>
  <c r="N508" i="4"/>
  <c r="O508" i="4" s="1"/>
  <c r="O427" i="4"/>
  <c r="O429" i="4" s="1"/>
  <c r="D57" i="1"/>
  <c r="AE57" i="1" s="1"/>
  <c r="P71" i="4"/>
  <c r="M320" i="4"/>
  <c r="B41" i="1" s="1"/>
  <c r="AC41" i="1" s="1"/>
  <c r="D53" i="1"/>
  <c r="AE53" i="1" s="1"/>
  <c r="D51" i="1"/>
  <c r="AE51" i="1" s="1"/>
  <c r="L11" i="4"/>
  <c r="T11" i="4" s="1"/>
  <c r="L15" i="4"/>
  <c r="L19" i="4"/>
  <c r="L575" i="4"/>
  <c r="Q575" i="4" s="1"/>
  <c r="L107" i="4"/>
  <c r="L151" i="4"/>
  <c r="T151" i="4" s="1"/>
  <c r="L24" i="4"/>
  <c r="T24" i="4" s="1"/>
  <c r="L51" i="4"/>
  <c r="L58" i="4"/>
  <c r="L73" i="4"/>
  <c r="T73" i="4" s="1"/>
  <c r="L143" i="4"/>
  <c r="L93" i="4"/>
  <c r="T93" i="4" s="1"/>
  <c r="L126" i="4"/>
  <c r="L111" i="4"/>
  <c r="L115" i="4"/>
  <c r="T115" i="4" s="1"/>
  <c r="L117" i="4"/>
  <c r="T117" i="4" s="1"/>
  <c r="L119" i="4"/>
  <c r="L588" i="4"/>
  <c r="Q588" i="4" s="1"/>
  <c r="L573" i="4"/>
  <c r="Q573" i="4" s="1"/>
  <c r="L131" i="4"/>
  <c r="T131" i="4" s="1"/>
  <c r="L589" i="4"/>
  <c r="Q589" i="4" s="1"/>
  <c r="L572" i="4"/>
  <c r="Q572" i="4" s="1"/>
  <c r="L163" i="4"/>
  <c r="T163" i="4" s="1"/>
  <c r="L165" i="4"/>
  <c r="T165" i="4" s="1"/>
  <c r="L167" i="4"/>
  <c r="T167" i="4" s="1"/>
  <c r="L169" i="4"/>
  <c r="T169" i="4" s="1"/>
  <c r="L171" i="4"/>
  <c r="T171" i="4" s="1"/>
  <c r="L173" i="4"/>
  <c r="T173" i="4" s="1"/>
  <c r="L177" i="4"/>
  <c r="T177" i="4" s="1"/>
  <c r="L179" i="4"/>
  <c r="T179" i="4" s="1"/>
  <c r="L187" i="4"/>
  <c r="T187" i="4" s="1"/>
  <c r="L189" i="4"/>
  <c r="T189" i="4" s="1"/>
  <c r="L217" i="4"/>
  <c r="T217" i="4" s="1"/>
  <c r="L219" i="4"/>
  <c r="T219" i="4" s="1"/>
  <c r="L565" i="4"/>
  <c r="L222" i="4"/>
  <c r="T222" i="4" s="1"/>
  <c r="L224" i="4"/>
  <c r="T224" i="4" s="1"/>
  <c r="L226" i="4"/>
  <c r="T226" i="4" s="1"/>
  <c r="L228" i="4"/>
  <c r="T228" i="4" s="1"/>
  <c r="L230" i="4"/>
  <c r="T230" i="4" s="1"/>
  <c r="L232" i="4"/>
  <c r="T232" i="4" s="1"/>
  <c r="L234" i="4"/>
  <c r="T234" i="4" s="1"/>
  <c r="L236" i="4"/>
  <c r="T236" i="4" s="1"/>
  <c r="L238" i="4"/>
  <c r="T238" i="4" s="1"/>
  <c r="L240" i="4"/>
  <c r="T240" i="4" s="1"/>
  <c r="L242" i="4"/>
  <c r="T242" i="4" s="1"/>
  <c r="L247" i="4"/>
  <c r="T247" i="4" s="1"/>
  <c r="L249" i="4"/>
  <c r="T249" i="4" s="1"/>
  <c r="L251" i="4"/>
  <c r="L253" i="4"/>
  <c r="L255" i="4"/>
  <c r="L257" i="4"/>
  <c r="L277" i="4"/>
  <c r="T277" i="4" s="1"/>
  <c r="L279" i="4"/>
  <c r="T279" i="4" s="1"/>
  <c r="L281" i="4"/>
  <c r="T281" i="4" s="1"/>
  <c r="L283" i="4"/>
  <c r="T283" i="4" s="1"/>
  <c r="L285" i="4"/>
  <c r="T285" i="4" s="1"/>
  <c r="L287" i="4"/>
  <c r="T287" i="4" s="1"/>
  <c r="L289" i="4"/>
  <c r="T289" i="4" s="1"/>
  <c r="L291" i="4"/>
  <c r="T291" i="4" s="1"/>
  <c r="L293" i="4"/>
  <c r="T293" i="4" s="1"/>
  <c r="L295" i="4"/>
  <c r="T295" i="4" s="1"/>
  <c r="L297" i="4"/>
  <c r="T297" i="4" s="1"/>
  <c r="L302" i="4"/>
  <c r="T302" i="4" s="1"/>
  <c r="L304" i="4"/>
  <c r="T304" i="4" s="1"/>
  <c r="L306" i="4"/>
  <c r="T306" i="4" s="1"/>
  <c r="L308" i="4"/>
  <c r="L310" i="4"/>
  <c r="L312" i="4"/>
  <c r="L314" i="4"/>
  <c r="L316" i="4"/>
  <c r="L388" i="4"/>
  <c r="T388" i="4" s="1"/>
  <c r="L390" i="4"/>
  <c r="T390" i="4" s="1"/>
  <c r="L392" i="4"/>
  <c r="L402" i="4"/>
  <c r="T402" i="4" s="1"/>
  <c r="L411" i="4"/>
  <c r="T411" i="4" s="1"/>
  <c r="L413" i="4"/>
  <c r="T413" i="4" s="1"/>
  <c r="L421" i="4"/>
  <c r="T421" i="4" s="1"/>
  <c r="L427" i="4"/>
  <c r="L138" i="4"/>
  <c r="T138" i="4" s="1"/>
  <c r="L473" i="4"/>
  <c r="T473" i="4" s="1"/>
  <c r="L12" i="4"/>
  <c r="L145" i="4"/>
  <c r="L14" i="4"/>
  <c r="T14" i="4" s="1"/>
  <c r="L17" i="4"/>
  <c r="L560" i="4"/>
  <c r="L563" i="4"/>
  <c r="L109" i="4"/>
  <c r="L21" i="4"/>
  <c r="L25" i="4"/>
  <c r="T25" i="4" s="1"/>
  <c r="L27" i="4"/>
  <c r="T27" i="4" s="1"/>
  <c r="L44" i="4"/>
  <c r="L53" i="4"/>
  <c r="L56" i="4"/>
  <c r="L60" i="4"/>
  <c r="T60" i="4" s="1"/>
  <c r="L63" i="4"/>
  <c r="T63" i="4" s="1"/>
  <c r="L65" i="4"/>
  <c r="T65" i="4" s="1"/>
  <c r="L72" i="4"/>
  <c r="T72" i="4" s="1"/>
  <c r="L74" i="4"/>
  <c r="T74" i="4" s="1"/>
  <c r="L79" i="4"/>
  <c r="L82" i="4"/>
  <c r="T82" i="4" s="1"/>
  <c r="L84" i="4"/>
  <c r="T84" i="4" s="1"/>
  <c r="L141" i="4"/>
  <c r="L77" i="4"/>
  <c r="L94" i="4"/>
  <c r="T94" i="4" s="1"/>
  <c r="L158" i="4"/>
  <c r="T158" i="4" s="1"/>
  <c r="L160" i="4"/>
  <c r="T160" i="4" s="1"/>
  <c r="L162" i="4"/>
  <c r="T162" i="4" s="1"/>
  <c r="L175" i="4"/>
  <c r="T175" i="4" s="1"/>
  <c r="L182" i="4"/>
  <c r="T182" i="4" s="1"/>
  <c r="L185" i="4"/>
  <c r="T185" i="4" s="1"/>
  <c r="L191" i="4"/>
  <c r="T191" i="4" s="1"/>
  <c r="L193" i="4"/>
  <c r="L195" i="4"/>
  <c r="L197" i="4"/>
  <c r="L200" i="4"/>
  <c r="L202" i="4"/>
  <c r="L204" i="4"/>
  <c r="L299" i="4"/>
  <c r="T299" i="4" s="1"/>
  <c r="L301" i="4"/>
  <c r="T301" i="4" s="1"/>
  <c r="L318" i="4"/>
  <c r="L324" i="4"/>
  <c r="T324" i="4" s="1"/>
  <c r="L326" i="4"/>
  <c r="T326" i="4" s="1"/>
  <c r="L328" i="4"/>
  <c r="L330" i="4"/>
  <c r="L332" i="4"/>
  <c r="L386" i="4"/>
  <c r="T386" i="4" s="1"/>
  <c r="L393" i="4"/>
  <c r="L395" i="4"/>
  <c r="L400" i="4"/>
  <c r="T400" i="4" s="1"/>
  <c r="L401" i="4"/>
  <c r="T401" i="4" s="1"/>
  <c r="L447" i="4"/>
  <c r="L454" i="4"/>
  <c r="T454" i="4" s="1"/>
  <c r="L459" i="4"/>
  <c r="T459" i="4" s="1"/>
  <c r="L89" i="4"/>
  <c r="L149" i="4"/>
  <c r="L92" i="4"/>
  <c r="T92" i="4" s="1"/>
  <c r="L41" i="4"/>
  <c r="L598" i="4"/>
  <c r="L113" i="4"/>
  <c r="L116" i="4"/>
  <c r="T116" i="4" s="1"/>
  <c r="L118" i="4"/>
  <c r="L571" i="4"/>
  <c r="Q571" i="4" s="1"/>
  <c r="L120" i="4"/>
  <c r="L130" i="4"/>
  <c r="L121" i="4"/>
  <c r="L574" i="4"/>
  <c r="Q574" i="4" s="1"/>
  <c r="L164" i="4"/>
  <c r="T164" i="4" s="1"/>
  <c r="L166" i="4"/>
  <c r="T166" i="4" s="1"/>
  <c r="L168" i="4"/>
  <c r="T168" i="4" s="1"/>
  <c r="L170" i="4"/>
  <c r="T170" i="4" s="1"/>
  <c r="L172" i="4"/>
  <c r="T172" i="4" s="1"/>
  <c r="L174" i="4"/>
  <c r="T174" i="4" s="1"/>
  <c r="L178" i="4"/>
  <c r="T178" i="4" s="1"/>
  <c r="L180" i="4"/>
  <c r="T180" i="4" s="1"/>
  <c r="L188" i="4"/>
  <c r="T188" i="4" s="1"/>
  <c r="L199" i="4"/>
  <c r="L218" i="4"/>
  <c r="T218" i="4" s="1"/>
  <c r="L220" i="4"/>
  <c r="T220" i="4" s="1"/>
  <c r="L221" i="4"/>
  <c r="T221" i="4" s="1"/>
  <c r="L223" i="4"/>
  <c r="T223" i="4" s="1"/>
  <c r="L225" i="4"/>
  <c r="T225" i="4" s="1"/>
  <c r="L227" i="4"/>
  <c r="T227" i="4" s="1"/>
  <c r="L229" i="4"/>
  <c r="T229" i="4" s="1"/>
  <c r="L231" i="4"/>
  <c r="T231" i="4" s="1"/>
  <c r="L233" i="4"/>
  <c r="T233" i="4" s="1"/>
  <c r="L235" i="4"/>
  <c r="T235" i="4" s="1"/>
  <c r="L237" i="4"/>
  <c r="T237" i="4" s="1"/>
  <c r="L239" i="4"/>
  <c r="T239" i="4" s="1"/>
  <c r="L241" i="4"/>
  <c r="T241" i="4" s="1"/>
  <c r="L246" i="4"/>
  <c r="T246" i="4" s="1"/>
  <c r="L248" i="4"/>
  <c r="T248" i="4" s="1"/>
  <c r="L250" i="4"/>
  <c r="T250" i="4" s="1"/>
  <c r="L252" i="4"/>
  <c r="L254" i="4"/>
  <c r="T254" i="4" s="1"/>
  <c r="L256" i="4"/>
  <c r="L278" i="4"/>
  <c r="T278" i="4" s="1"/>
  <c r="L280" i="4"/>
  <c r="T280" i="4" s="1"/>
  <c r="L282" i="4"/>
  <c r="T282" i="4" s="1"/>
  <c r="L284" i="4"/>
  <c r="T284" i="4" s="1"/>
  <c r="L286" i="4"/>
  <c r="T286" i="4" s="1"/>
  <c r="L288" i="4"/>
  <c r="T288" i="4" s="1"/>
  <c r="L290" i="4"/>
  <c r="T290" i="4" s="1"/>
  <c r="L292" i="4"/>
  <c r="T292" i="4" s="1"/>
  <c r="L294" i="4"/>
  <c r="T294" i="4" s="1"/>
  <c r="L296" i="4"/>
  <c r="T296" i="4" s="1"/>
  <c r="L298" i="4"/>
  <c r="T298" i="4" s="1"/>
  <c r="L303" i="4"/>
  <c r="T303" i="4" s="1"/>
  <c r="L305" i="4"/>
  <c r="T305" i="4" s="1"/>
  <c r="L307" i="4"/>
  <c r="T307" i="4" s="1"/>
  <c r="L309" i="4"/>
  <c r="L311" i="4"/>
  <c r="L313" i="4"/>
  <c r="L315" i="4"/>
  <c r="L317" i="4"/>
  <c r="L389" i="4"/>
  <c r="T389" i="4" s="1"/>
  <c r="L391" i="4"/>
  <c r="T391" i="4" s="1"/>
  <c r="L403" i="4"/>
  <c r="T403" i="4" s="1"/>
  <c r="L410" i="4"/>
  <c r="T410" i="4" s="1"/>
  <c r="L412" i="4"/>
  <c r="T412" i="4" s="1"/>
  <c r="L139" i="4"/>
  <c r="L474" i="4"/>
  <c r="T474" i="4" s="1"/>
  <c r="L128" i="4"/>
  <c r="L26" i="4"/>
  <c r="L91" i="4"/>
  <c r="L61" i="4"/>
  <c r="L64" i="4"/>
  <c r="T64" i="4" s="1"/>
  <c r="L66" i="4"/>
  <c r="T66" i="4" s="1"/>
  <c r="L71" i="4"/>
  <c r="T71" i="4" s="1"/>
  <c r="L75" i="4"/>
  <c r="T75" i="4" s="1"/>
  <c r="L81" i="4"/>
  <c r="T81" i="4" s="1"/>
  <c r="L83" i="4"/>
  <c r="T83" i="4" s="1"/>
  <c r="L136" i="4"/>
  <c r="L95" i="4"/>
  <c r="T95" i="4" s="1"/>
  <c r="L159" i="4"/>
  <c r="T159" i="4" s="1"/>
  <c r="L161" i="4"/>
  <c r="T161" i="4" s="1"/>
  <c r="L176" i="4"/>
  <c r="T176" i="4" s="1"/>
  <c r="L181" i="4"/>
  <c r="T181" i="4" s="1"/>
  <c r="L184" i="4"/>
  <c r="T184" i="4" s="1"/>
  <c r="L186" i="4"/>
  <c r="T186" i="4" s="1"/>
  <c r="L192" i="4"/>
  <c r="L194" i="4"/>
  <c r="L196" i="4"/>
  <c r="L198" i="4"/>
  <c r="L201" i="4"/>
  <c r="L203" i="4"/>
  <c r="L300" i="4"/>
  <c r="T300" i="4" s="1"/>
  <c r="L323" i="4"/>
  <c r="T323" i="4" s="1"/>
  <c r="L325" i="4"/>
  <c r="T325" i="4" s="1"/>
  <c r="L327" i="4"/>
  <c r="L329" i="4"/>
  <c r="L331" i="4"/>
  <c r="L333" i="4"/>
  <c r="L385" i="4"/>
  <c r="T385" i="4" s="1"/>
  <c r="L387" i="4"/>
  <c r="T387" i="4" s="1"/>
  <c r="L394" i="4"/>
  <c r="L451" i="4"/>
  <c r="L456" i="4"/>
  <c r="T456" i="4" s="1"/>
  <c r="L461" i="4"/>
  <c r="T461" i="4" s="1"/>
  <c r="L446" i="4"/>
  <c r="T446" i="4" s="1"/>
  <c r="L449" i="4"/>
  <c r="L453" i="4"/>
  <c r="T453" i="4" s="1"/>
  <c r="L455" i="4"/>
  <c r="T455" i="4" s="1"/>
  <c r="L457" i="4"/>
  <c r="T457" i="4" s="1"/>
  <c r="L460" i="4"/>
  <c r="T460" i="4" s="1"/>
  <c r="L462" i="4"/>
  <c r="L441" i="4"/>
  <c r="L444" i="4"/>
  <c r="L465" i="4"/>
  <c r="T465" i="4" s="1"/>
  <c r="L467" i="4"/>
  <c r="T467" i="4" s="1"/>
  <c r="L469" i="4"/>
  <c r="T469" i="4" s="1"/>
  <c r="L471" i="4"/>
  <c r="T471" i="4" s="1"/>
  <c r="L483" i="4"/>
  <c r="T483" i="4" s="1"/>
  <c r="L485" i="4"/>
  <c r="T485" i="4" s="1"/>
  <c r="L566" i="4"/>
  <c r="L488" i="4"/>
  <c r="T488" i="4" s="1"/>
  <c r="L490" i="4"/>
  <c r="T490" i="4" s="1"/>
  <c r="L495" i="4"/>
  <c r="T495" i="4" s="1"/>
  <c r="L497" i="4"/>
  <c r="T497" i="4" s="1"/>
  <c r="L499" i="4"/>
  <c r="T499" i="4" s="1"/>
  <c r="L501" i="4"/>
  <c r="T501" i="4" s="1"/>
  <c r="L503" i="4"/>
  <c r="L505" i="4"/>
  <c r="T505" i="4" s="1"/>
  <c r="L507" i="4"/>
  <c r="T507" i="4" s="1"/>
  <c r="L509" i="4"/>
  <c r="L534" i="4"/>
  <c r="Q534" i="4" s="1"/>
  <c r="L536" i="4"/>
  <c r="Q536" i="4" s="1"/>
  <c r="L542" i="4"/>
  <c r="Q542" i="4" s="1"/>
  <c r="L547" i="4"/>
  <c r="Q547" i="4" s="1"/>
  <c r="L552" i="4"/>
  <c r="Q552" i="4" s="1"/>
  <c r="L557" i="4"/>
  <c r="Q557" i="4" s="1"/>
  <c r="L443" i="4"/>
  <c r="T443" i="4" s="1"/>
  <c r="L464" i="4"/>
  <c r="T464" i="4" s="1"/>
  <c r="L466" i="4"/>
  <c r="T466" i="4" s="1"/>
  <c r="L468" i="4"/>
  <c r="T468" i="4" s="1"/>
  <c r="L470" i="4"/>
  <c r="T470" i="4" s="1"/>
  <c r="L472" i="4"/>
  <c r="T472" i="4" s="1"/>
  <c r="L482" i="4"/>
  <c r="T482" i="4" s="1"/>
  <c r="L484" i="4"/>
  <c r="T484" i="4" s="1"/>
  <c r="L486" i="4"/>
  <c r="T486" i="4" s="1"/>
  <c r="L487" i="4"/>
  <c r="T487" i="4" s="1"/>
  <c r="L489" i="4"/>
  <c r="T489" i="4" s="1"/>
  <c r="L496" i="4"/>
  <c r="T496" i="4" s="1"/>
  <c r="L498" i="4"/>
  <c r="T498" i="4" s="1"/>
  <c r="L500" i="4"/>
  <c r="T500" i="4" s="1"/>
  <c r="L502" i="4"/>
  <c r="T502" i="4" s="1"/>
  <c r="L504" i="4"/>
  <c r="T504" i="4" s="1"/>
  <c r="L506" i="4"/>
  <c r="T506" i="4" s="1"/>
  <c r="L508" i="4"/>
  <c r="L510" i="4"/>
  <c r="T510" i="4" s="1"/>
  <c r="L533" i="4"/>
  <c r="Q533" i="4" s="1"/>
  <c r="L535" i="4"/>
  <c r="Q535" i="4" s="1"/>
  <c r="L537" i="4"/>
  <c r="Q537" i="4" s="1"/>
  <c r="L543" i="4"/>
  <c r="Q543" i="4" s="1"/>
  <c r="L548" i="4"/>
  <c r="Q548" i="4" s="1"/>
  <c r="L553" i="4"/>
  <c r="Q553" i="4" s="1"/>
  <c r="M397" i="4"/>
  <c r="B49" i="1" s="1"/>
  <c r="AC49" i="1" s="1"/>
  <c r="N277" i="4"/>
  <c r="M274" i="4"/>
  <c r="B39" i="1" s="1"/>
  <c r="AC39" i="1" s="1"/>
  <c r="N323" i="4"/>
  <c r="N335" i="4" s="1"/>
  <c r="O410" i="4"/>
  <c r="O418" i="4" s="1"/>
  <c r="N386" i="4"/>
  <c r="O386" i="4" s="1"/>
  <c r="P386" i="4" s="1"/>
  <c r="T10" i="4"/>
  <c r="U10" i="4"/>
  <c r="N24" i="4"/>
  <c r="O24" i="4" s="1"/>
  <c r="P24" i="4" s="1"/>
  <c r="N44" i="4"/>
  <c r="O44" i="4" s="1"/>
  <c r="M213" i="4"/>
  <c r="N200" i="4"/>
  <c r="O200" i="4" s="1"/>
  <c r="N164" i="4"/>
  <c r="N213" i="4" s="1"/>
  <c r="N230" i="4"/>
  <c r="O230" i="4" s="1"/>
  <c r="P230" i="4" s="1"/>
  <c r="O279" i="4"/>
  <c r="P279" i="4" s="1"/>
  <c r="O385" i="4"/>
  <c r="O421" i="4"/>
  <c r="O424" i="4" s="1"/>
  <c r="M518" i="4"/>
  <c r="B69" i="1" s="1"/>
  <c r="AC69" i="1" s="1"/>
  <c r="N503" i="4"/>
  <c r="O503" i="4" s="1"/>
  <c r="N35" i="2"/>
  <c r="T312" i="4" l="1"/>
  <c r="M431" i="4"/>
  <c r="C55" i="1"/>
  <c r="AD55" i="1" s="1"/>
  <c r="Q400" i="4"/>
  <c r="U400" i="4" s="1"/>
  <c r="S400" i="4"/>
  <c r="Q338" i="4"/>
  <c r="T338" i="4" s="1"/>
  <c r="P363" i="4"/>
  <c r="N518" i="4"/>
  <c r="D69" i="1" s="1"/>
  <c r="AE69" i="1" s="1"/>
  <c r="Q366" i="4"/>
  <c r="T366" i="4" s="1"/>
  <c r="P378" i="4"/>
  <c r="P495" i="4"/>
  <c r="O518" i="4"/>
  <c r="P400" i="4"/>
  <c r="P405" i="4" s="1"/>
  <c r="O405" i="4"/>
  <c r="N274" i="4"/>
  <c r="P482" i="4"/>
  <c r="P492" i="4" s="1"/>
  <c r="O492" i="4"/>
  <c r="P217" i="4"/>
  <c r="P274" i="4" s="1"/>
  <c r="O274" i="4"/>
  <c r="N320" i="4"/>
  <c r="D41" i="1" s="1"/>
  <c r="AE41" i="1" s="1"/>
  <c r="U434" i="4"/>
  <c r="U437" i="4" s="1"/>
  <c r="T437" i="4"/>
  <c r="N397" i="4"/>
  <c r="D49" i="1" s="1"/>
  <c r="AE49" i="1" s="1"/>
  <c r="O397" i="4"/>
  <c r="P158" i="4"/>
  <c r="P11" i="4"/>
  <c r="S502" i="4"/>
  <c r="Q502" i="4"/>
  <c r="S394" i="4"/>
  <c r="Q394" i="4"/>
  <c r="S508" i="4"/>
  <c r="Q472" i="4"/>
  <c r="S472" i="4"/>
  <c r="S509" i="4"/>
  <c r="Q509" i="4"/>
  <c r="S483" i="4"/>
  <c r="Q483" i="4"/>
  <c r="Q449" i="4"/>
  <c r="Q325" i="4"/>
  <c r="S325" i="4"/>
  <c r="S176" i="4"/>
  <c r="Q176" i="4"/>
  <c r="S91" i="4"/>
  <c r="Q91" i="4"/>
  <c r="S313" i="4"/>
  <c r="Q313" i="4"/>
  <c r="S286" i="4"/>
  <c r="Q286" i="4"/>
  <c r="Q239" i="4"/>
  <c r="S239" i="4"/>
  <c r="Q199" i="4"/>
  <c r="S199" i="4"/>
  <c r="S130" i="4"/>
  <c r="Q130" i="4"/>
  <c r="T130" i="4" s="1"/>
  <c r="S454" i="4"/>
  <c r="Q454" i="4"/>
  <c r="S318" i="4"/>
  <c r="Q318" i="4"/>
  <c r="Q175" i="4"/>
  <c r="S175" i="4"/>
  <c r="S65" i="4"/>
  <c r="Q65" i="4"/>
  <c r="Q17" i="4"/>
  <c r="S390" i="4"/>
  <c r="Q390" i="4"/>
  <c r="S293" i="4"/>
  <c r="Q293" i="4"/>
  <c r="Q251" i="4"/>
  <c r="T251" i="4" s="1"/>
  <c r="S251" i="4"/>
  <c r="S224" i="4"/>
  <c r="Q224" i="4"/>
  <c r="S167" i="4"/>
  <c r="Q167" i="4"/>
  <c r="Q126" i="4"/>
  <c r="S506" i="4"/>
  <c r="Q506" i="4"/>
  <c r="S470" i="4"/>
  <c r="Q470" i="4"/>
  <c r="S507" i="4"/>
  <c r="Q507" i="4"/>
  <c r="S471" i="4"/>
  <c r="Q471" i="4"/>
  <c r="S446" i="4"/>
  <c r="Q446" i="4"/>
  <c r="S323" i="4"/>
  <c r="Q323" i="4"/>
  <c r="S161" i="4"/>
  <c r="Q161" i="4"/>
  <c r="S26" i="4"/>
  <c r="Q26" i="4"/>
  <c r="S311" i="4"/>
  <c r="Q311" i="4"/>
  <c r="T311" i="4" s="1"/>
  <c r="S284" i="4"/>
  <c r="Q284" i="4"/>
  <c r="S237" i="4"/>
  <c r="Q237" i="4"/>
  <c r="Q188" i="4"/>
  <c r="S188" i="4"/>
  <c r="S120" i="4"/>
  <c r="Q120" i="4"/>
  <c r="Q447" i="4"/>
  <c r="S301" i="4"/>
  <c r="Q301" i="4"/>
  <c r="S162" i="4"/>
  <c r="Q162" i="4"/>
  <c r="Q63" i="4"/>
  <c r="S63" i="4"/>
  <c r="Q14" i="4"/>
  <c r="S14" i="4"/>
  <c r="S388" i="4"/>
  <c r="Q388" i="4"/>
  <c r="Q291" i="4"/>
  <c r="S291" i="4"/>
  <c r="S249" i="4"/>
  <c r="Q249" i="4"/>
  <c r="S222" i="4"/>
  <c r="Q222" i="4"/>
  <c r="S165" i="4"/>
  <c r="Q165" i="4"/>
  <c r="S93" i="4"/>
  <c r="Q93" i="4"/>
  <c r="Q504" i="4"/>
  <c r="S504" i="4"/>
  <c r="S468" i="4"/>
  <c r="Q468" i="4"/>
  <c r="S505" i="4"/>
  <c r="Q505" i="4"/>
  <c r="S469" i="4"/>
  <c r="Q469" i="4"/>
  <c r="S461" i="4"/>
  <c r="Q461" i="4"/>
  <c r="S300" i="4"/>
  <c r="Q300" i="4"/>
  <c r="S159" i="4"/>
  <c r="Q159" i="4"/>
  <c r="Q128" i="4"/>
  <c r="Q309" i="4"/>
  <c r="T309" i="4" s="1"/>
  <c r="S309" i="4"/>
  <c r="S282" i="4"/>
  <c r="Q282" i="4"/>
  <c r="S235" i="4"/>
  <c r="Q235" i="4"/>
  <c r="Q180" i="4"/>
  <c r="S180" i="4"/>
  <c r="S401" i="4"/>
  <c r="Q401" i="4"/>
  <c r="S299" i="4"/>
  <c r="Q299" i="4"/>
  <c r="S160" i="4"/>
  <c r="Q160" i="4"/>
  <c r="Q60" i="4"/>
  <c r="S60" i="4"/>
  <c r="Q145" i="4"/>
  <c r="S316" i="4"/>
  <c r="Q316" i="4"/>
  <c r="S289" i="4"/>
  <c r="Q289" i="4"/>
  <c r="S247" i="4"/>
  <c r="Q247" i="4"/>
  <c r="Q163" i="4"/>
  <c r="S163" i="4"/>
  <c r="Q143" i="4"/>
  <c r="Q466" i="4"/>
  <c r="S466" i="4"/>
  <c r="S456" i="4"/>
  <c r="Q456" i="4"/>
  <c r="Q203" i="4"/>
  <c r="S203" i="4"/>
  <c r="S95" i="4"/>
  <c r="Q95" i="4"/>
  <c r="S474" i="4"/>
  <c r="Q474" i="4"/>
  <c r="S307" i="4"/>
  <c r="Q307" i="4"/>
  <c r="S280" i="4"/>
  <c r="Q280" i="4"/>
  <c r="Q233" i="4"/>
  <c r="S233" i="4"/>
  <c r="S178" i="4"/>
  <c r="Q178" i="4"/>
  <c r="S118" i="4"/>
  <c r="Q118" i="4"/>
  <c r="Q204" i="4"/>
  <c r="S204" i="4"/>
  <c r="Q158" i="4"/>
  <c r="S158" i="4"/>
  <c r="Q56" i="4"/>
  <c r="Q12" i="4"/>
  <c r="S314" i="4"/>
  <c r="Q314" i="4"/>
  <c r="S287" i="4"/>
  <c r="Q287" i="4"/>
  <c r="S242" i="4"/>
  <c r="Q242" i="4"/>
  <c r="S219" i="4"/>
  <c r="Q219" i="4"/>
  <c r="S73" i="4"/>
  <c r="Q73" i="4"/>
  <c r="S501" i="4"/>
  <c r="Q501" i="4"/>
  <c r="S465" i="4"/>
  <c r="Q465" i="4"/>
  <c r="Q451" i="4"/>
  <c r="S201" i="4"/>
  <c r="Q201" i="4"/>
  <c r="Q136" i="4"/>
  <c r="Q139" i="4"/>
  <c r="S305" i="4"/>
  <c r="Q305" i="4"/>
  <c r="Q278" i="4"/>
  <c r="S278" i="4"/>
  <c r="S231" i="4"/>
  <c r="Q231" i="4"/>
  <c r="Q174" i="4"/>
  <c r="S174" i="4"/>
  <c r="S116" i="4"/>
  <c r="Q116" i="4"/>
  <c r="Q395" i="4"/>
  <c r="S395" i="4"/>
  <c r="S202" i="4"/>
  <c r="Q202" i="4"/>
  <c r="Q94" i="4"/>
  <c r="S94" i="4"/>
  <c r="Q53" i="4"/>
  <c r="S473" i="4"/>
  <c r="Q473" i="4"/>
  <c r="S312" i="4"/>
  <c r="Q312" i="4"/>
  <c r="Q285" i="4"/>
  <c r="S285" i="4"/>
  <c r="S240" i="4"/>
  <c r="Q240" i="4"/>
  <c r="S217" i="4"/>
  <c r="Q217" i="4"/>
  <c r="Q58" i="4"/>
  <c r="Q444" i="4"/>
  <c r="Q198" i="4"/>
  <c r="S198" i="4"/>
  <c r="S83" i="4"/>
  <c r="Q83" i="4"/>
  <c r="S412" i="4"/>
  <c r="Q412" i="4"/>
  <c r="Q303" i="4"/>
  <c r="S303" i="4"/>
  <c r="S256" i="4"/>
  <c r="Q256" i="4"/>
  <c r="S229" i="4"/>
  <c r="Q229" i="4"/>
  <c r="S172" i="4"/>
  <c r="Q172" i="4"/>
  <c r="Q113" i="4"/>
  <c r="S393" i="4"/>
  <c r="Q393" i="4"/>
  <c r="S200" i="4"/>
  <c r="Q77" i="4"/>
  <c r="S44" i="4"/>
  <c r="S138" i="4"/>
  <c r="Q138" i="4"/>
  <c r="S310" i="4"/>
  <c r="Q310" i="4"/>
  <c r="T310" i="4" s="1"/>
  <c r="S283" i="4"/>
  <c r="Q283" i="4"/>
  <c r="S238" i="4"/>
  <c r="Q238" i="4"/>
  <c r="S189" i="4"/>
  <c r="Q189" i="4"/>
  <c r="S131" i="4"/>
  <c r="Q131" i="4"/>
  <c r="Q51" i="4"/>
  <c r="S503" i="4"/>
  <c r="S196" i="4"/>
  <c r="Q196" i="4"/>
  <c r="S254" i="4"/>
  <c r="Q254" i="4"/>
  <c r="Q598" i="4"/>
  <c r="S386" i="4"/>
  <c r="Q386" i="4"/>
  <c r="S197" i="4"/>
  <c r="Q197" i="4"/>
  <c r="Q141" i="4"/>
  <c r="S27" i="4"/>
  <c r="Q27" i="4"/>
  <c r="S427" i="4"/>
  <c r="S429" i="4" s="1"/>
  <c r="S308" i="4"/>
  <c r="Q308" i="4"/>
  <c r="T308" i="4" s="1"/>
  <c r="S281" i="4"/>
  <c r="Q281" i="4"/>
  <c r="S236" i="4"/>
  <c r="Q236" i="4"/>
  <c r="Q187" i="4"/>
  <c r="S187" i="4"/>
  <c r="Q24" i="4"/>
  <c r="S24" i="4"/>
  <c r="S499" i="4"/>
  <c r="Q499" i="4"/>
  <c r="S497" i="4"/>
  <c r="Q497" i="4"/>
  <c r="S410" i="4"/>
  <c r="Q410" i="4"/>
  <c r="S495" i="4"/>
  <c r="Q495" i="4"/>
  <c r="Q462" i="4"/>
  <c r="S385" i="4"/>
  <c r="Q385" i="4"/>
  <c r="S194" i="4"/>
  <c r="Q194" i="4"/>
  <c r="S75" i="4"/>
  <c r="Q75" i="4"/>
  <c r="S403" i="4"/>
  <c r="Q403" i="4"/>
  <c r="S296" i="4"/>
  <c r="Q296" i="4"/>
  <c r="S252" i="4"/>
  <c r="Q252" i="4"/>
  <c r="T252" i="4" s="1"/>
  <c r="S225" i="4"/>
  <c r="Q225" i="4"/>
  <c r="S168" i="4"/>
  <c r="Q168" i="4"/>
  <c r="Q41" i="4"/>
  <c r="S332" i="4"/>
  <c r="Q332" i="4"/>
  <c r="T332" i="4" s="1"/>
  <c r="S195" i="4"/>
  <c r="Q195" i="4"/>
  <c r="S84" i="4"/>
  <c r="Q84" i="4"/>
  <c r="Q25" i="4"/>
  <c r="S25" i="4"/>
  <c r="Q421" i="4"/>
  <c r="S421" i="4"/>
  <c r="S424" i="4" s="1"/>
  <c r="S306" i="4"/>
  <c r="Q306" i="4"/>
  <c r="Q279" i="4"/>
  <c r="S279" i="4"/>
  <c r="S234" i="4"/>
  <c r="Q234" i="4"/>
  <c r="Q179" i="4"/>
  <c r="S179" i="4"/>
  <c r="S151" i="4"/>
  <c r="Q151" i="4"/>
  <c r="Q443" i="4"/>
  <c r="S443" i="4"/>
  <c r="S496" i="4"/>
  <c r="Q496" i="4"/>
  <c r="S298" i="4"/>
  <c r="Q298" i="4"/>
  <c r="S333" i="4"/>
  <c r="Q333" i="4"/>
  <c r="Q71" i="4"/>
  <c r="S71" i="4"/>
  <c r="S250" i="4"/>
  <c r="Q250" i="4"/>
  <c r="S223" i="4"/>
  <c r="Q223" i="4"/>
  <c r="S166" i="4"/>
  <c r="Q166" i="4"/>
  <c r="S92" i="4"/>
  <c r="Q92" i="4"/>
  <c r="S330" i="4"/>
  <c r="Q330" i="4"/>
  <c r="Q193" i="4"/>
  <c r="T193" i="4" s="1"/>
  <c r="S193" i="4"/>
  <c r="S82" i="4"/>
  <c r="Q82" i="4"/>
  <c r="Q21" i="4"/>
  <c r="S413" i="4"/>
  <c r="Q413" i="4"/>
  <c r="S304" i="4"/>
  <c r="Q304" i="4"/>
  <c r="S277" i="4"/>
  <c r="Q277" i="4"/>
  <c r="S232" i="4"/>
  <c r="Q232" i="4"/>
  <c r="S177" i="4"/>
  <c r="Q177" i="4"/>
  <c r="S119" i="4"/>
  <c r="Q119" i="4"/>
  <c r="Q107" i="4"/>
  <c r="Q498" i="4"/>
  <c r="S498" i="4"/>
  <c r="Q441" i="4"/>
  <c r="S81" i="4"/>
  <c r="Q81" i="4"/>
  <c r="S489" i="4"/>
  <c r="Q489" i="4"/>
  <c r="S490" i="4"/>
  <c r="Q490" i="4"/>
  <c r="Q192" i="4"/>
  <c r="T192" i="4" s="1"/>
  <c r="S192" i="4"/>
  <c r="S486" i="4"/>
  <c r="Q486" i="4"/>
  <c r="Q488" i="4"/>
  <c r="S488" i="4"/>
  <c r="S457" i="4"/>
  <c r="Q457" i="4"/>
  <c r="Q186" i="4"/>
  <c r="S186" i="4"/>
  <c r="S66" i="4"/>
  <c r="Q66" i="4"/>
  <c r="Q389" i="4"/>
  <c r="S389" i="4"/>
  <c r="S292" i="4"/>
  <c r="Q292" i="4"/>
  <c r="S248" i="4"/>
  <c r="Q248" i="4"/>
  <c r="Q221" i="4"/>
  <c r="S221" i="4"/>
  <c r="S164" i="4"/>
  <c r="Q164" i="4"/>
  <c r="Q149" i="4"/>
  <c r="S328" i="4"/>
  <c r="Q328" i="4"/>
  <c r="S191" i="4"/>
  <c r="Q191" i="4"/>
  <c r="Q79" i="4"/>
  <c r="Q109" i="4"/>
  <c r="Q411" i="4"/>
  <c r="S411" i="4"/>
  <c r="S302" i="4"/>
  <c r="Q302" i="4"/>
  <c r="Q257" i="4"/>
  <c r="S257" i="4"/>
  <c r="S230" i="4"/>
  <c r="Q230" i="4"/>
  <c r="S173" i="4"/>
  <c r="Q173" i="4"/>
  <c r="Q117" i="4"/>
  <c r="S117" i="4"/>
  <c r="S500" i="4"/>
  <c r="Q500" i="4"/>
  <c r="Q227" i="4"/>
  <c r="S227" i="4"/>
  <c r="S294" i="4"/>
  <c r="Q294" i="4"/>
  <c r="S317" i="4"/>
  <c r="Q317" i="4"/>
  <c r="S326" i="4"/>
  <c r="Q326" i="4"/>
  <c r="S255" i="4"/>
  <c r="Q255" i="4"/>
  <c r="S115" i="4"/>
  <c r="Q115" i="4"/>
  <c r="S467" i="4"/>
  <c r="Q467" i="4"/>
  <c r="S464" i="4"/>
  <c r="Q464" i="4"/>
  <c r="S387" i="4"/>
  <c r="Q387" i="4"/>
  <c r="S170" i="4"/>
  <c r="Q170" i="4"/>
  <c r="S487" i="4"/>
  <c r="Q487" i="4"/>
  <c r="S460" i="4"/>
  <c r="Q460" i="4"/>
  <c r="S391" i="4"/>
  <c r="Q391" i="4"/>
  <c r="Q331" i="4"/>
  <c r="S331" i="4"/>
  <c r="S484" i="4"/>
  <c r="Q484" i="4"/>
  <c r="S455" i="4"/>
  <c r="Q455" i="4"/>
  <c r="S329" i="4"/>
  <c r="Q329" i="4"/>
  <c r="S184" i="4"/>
  <c r="Q184" i="4"/>
  <c r="S64" i="4"/>
  <c r="Q64" i="4"/>
  <c r="S290" i="4"/>
  <c r="Q290" i="4"/>
  <c r="S246" i="4"/>
  <c r="Q246" i="4"/>
  <c r="S220" i="4"/>
  <c r="Q220" i="4"/>
  <c r="Q89" i="4"/>
  <c r="S185" i="4"/>
  <c r="Q185" i="4"/>
  <c r="S74" i="4"/>
  <c r="Q74" i="4"/>
  <c r="S402" i="4"/>
  <c r="Q402" i="4"/>
  <c r="Q297" i="4"/>
  <c r="S297" i="4"/>
  <c r="S228" i="4"/>
  <c r="Q228" i="4"/>
  <c r="S171" i="4"/>
  <c r="Q171" i="4"/>
  <c r="Q19" i="4"/>
  <c r="Q510" i="4"/>
  <c r="S510" i="4"/>
  <c r="Q482" i="4"/>
  <c r="S482" i="4"/>
  <c r="S485" i="4"/>
  <c r="Q485" i="4"/>
  <c r="Q453" i="4"/>
  <c r="S453" i="4"/>
  <c r="S327" i="4"/>
  <c r="Q327" i="4"/>
  <c r="T327" i="4" s="1"/>
  <c r="Q181" i="4"/>
  <c r="S181" i="4"/>
  <c r="Q61" i="4"/>
  <c r="Q315" i="4"/>
  <c r="S315" i="4"/>
  <c r="S288" i="4"/>
  <c r="Q288" i="4"/>
  <c r="S241" i="4"/>
  <c r="Q241" i="4"/>
  <c r="S218" i="4"/>
  <c r="Q218" i="4"/>
  <c r="S121" i="4"/>
  <c r="Q121" i="4"/>
  <c r="T121" i="4" s="1"/>
  <c r="Q459" i="4"/>
  <c r="S459" i="4"/>
  <c r="S324" i="4"/>
  <c r="Q324" i="4"/>
  <c r="S182" i="4"/>
  <c r="Q182" i="4"/>
  <c r="S72" i="4"/>
  <c r="Q72" i="4"/>
  <c r="S392" i="4"/>
  <c r="Q392" i="4"/>
  <c r="S295" i="4"/>
  <c r="Q295" i="4"/>
  <c r="S253" i="4"/>
  <c r="Q253" i="4"/>
  <c r="T253" i="4" s="1"/>
  <c r="S226" i="4"/>
  <c r="Q226" i="4"/>
  <c r="Q169" i="4"/>
  <c r="S169" i="4"/>
  <c r="Q111" i="4"/>
  <c r="Q15" i="4"/>
  <c r="Q11" i="4"/>
  <c r="S11" i="4"/>
  <c r="P508" i="4"/>
  <c r="Q508" i="4" s="1"/>
  <c r="P44" i="4"/>
  <c r="Q44" i="4" s="1"/>
  <c r="T44" i="4" s="1"/>
  <c r="P503" i="4"/>
  <c r="Q503" i="4" s="1"/>
  <c r="T503" i="4" s="1"/>
  <c r="S589" i="4"/>
  <c r="S588" i="4"/>
  <c r="E47" i="1"/>
  <c r="AF47" i="1" s="1"/>
  <c r="C57" i="1"/>
  <c r="AD57" i="1" s="1"/>
  <c r="C51" i="1"/>
  <c r="AD51" i="1" s="1"/>
  <c r="C53" i="1"/>
  <c r="AD53" i="1" s="1"/>
  <c r="B37" i="1"/>
  <c r="AC37" i="1" s="1"/>
  <c r="P427" i="4"/>
  <c r="P429" i="4" s="1"/>
  <c r="D39" i="1"/>
  <c r="AE39" i="1" s="1"/>
  <c r="O323" i="4"/>
  <c r="O335" i="4" s="1"/>
  <c r="D43" i="1"/>
  <c r="AE43" i="1" s="1"/>
  <c r="O277" i="4"/>
  <c r="O320" i="4" s="1"/>
  <c r="S548" i="4"/>
  <c r="T548" i="4" s="1"/>
  <c r="U548" i="4" s="1"/>
  <c r="S533" i="4"/>
  <c r="T533" i="4" s="1"/>
  <c r="U533" i="4" s="1"/>
  <c r="S557" i="4"/>
  <c r="T557" i="4" s="1"/>
  <c r="U557" i="4" s="1"/>
  <c r="S536" i="4"/>
  <c r="T536" i="4" s="1"/>
  <c r="U536" i="4" s="1"/>
  <c r="S535" i="4"/>
  <c r="T535" i="4" s="1"/>
  <c r="U535" i="4" s="1"/>
  <c r="S543" i="4"/>
  <c r="T543" i="4" s="1"/>
  <c r="U543" i="4" s="1"/>
  <c r="S552" i="4"/>
  <c r="T552" i="4" s="1"/>
  <c r="U552" i="4" s="1"/>
  <c r="S534" i="4"/>
  <c r="T534" i="4" s="1"/>
  <c r="U534" i="4" s="1"/>
  <c r="S553" i="4"/>
  <c r="T553" i="4" s="1"/>
  <c r="U553" i="4" s="1"/>
  <c r="S542" i="4"/>
  <c r="T542" i="4" s="1"/>
  <c r="U542" i="4" s="1"/>
  <c r="S537" i="4"/>
  <c r="T537" i="4" s="1"/>
  <c r="U537" i="4" s="1"/>
  <c r="S547" i="4"/>
  <c r="T547" i="4" s="1"/>
  <c r="U547" i="4" s="1"/>
  <c r="P385" i="4"/>
  <c r="P397" i="4" s="1"/>
  <c r="Q560" i="4"/>
  <c r="P421" i="4"/>
  <c r="P424" i="4" s="1"/>
  <c r="S574" i="4"/>
  <c r="T574" i="4" s="1"/>
  <c r="U574" i="4" s="1"/>
  <c r="P410" i="4"/>
  <c r="P418" i="4" s="1"/>
  <c r="Q566" i="4"/>
  <c r="Q563" i="4"/>
  <c r="Q565" i="4"/>
  <c r="P200" i="4"/>
  <c r="Q200" i="4" s="1"/>
  <c r="T200" i="4" s="1"/>
  <c r="O164" i="4"/>
  <c r="O213" i="4" s="1"/>
  <c r="S116" i="2"/>
  <c r="N116" i="2"/>
  <c r="AQ116" i="2"/>
  <c r="AO116" i="2"/>
  <c r="AM116" i="2"/>
  <c r="AK116" i="2"/>
  <c r="T329" i="4" l="1"/>
  <c r="U329" i="4" s="1"/>
  <c r="T255" i="4"/>
  <c r="U255" i="4" s="1"/>
  <c r="T196" i="4"/>
  <c r="U196" i="4" s="1"/>
  <c r="T91" i="4"/>
  <c r="U91" i="4" s="1"/>
  <c r="T119" i="4"/>
  <c r="U119" i="4" s="1"/>
  <c r="T204" i="4"/>
  <c r="U204" i="4" s="1"/>
  <c r="T333" i="4"/>
  <c r="U333" i="4" s="1"/>
  <c r="T195" i="4"/>
  <c r="U195" i="4" s="1"/>
  <c r="T509" i="4"/>
  <c r="U509" i="4" s="1"/>
  <c r="T315" i="4"/>
  <c r="U315" i="4" s="1"/>
  <c r="T198" i="4"/>
  <c r="U198" i="4" s="1"/>
  <c r="T120" i="4"/>
  <c r="U120" i="4" s="1"/>
  <c r="T393" i="4"/>
  <c r="U393" i="4" s="1"/>
  <c r="T202" i="4"/>
  <c r="U202" i="4" s="1"/>
  <c r="T201" i="4"/>
  <c r="U201" i="4" s="1"/>
  <c r="T392" i="4"/>
  <c r="U392" i="4" s="1"/>
  <c r="T199" i="4"/>
  <c r="U199" i="4" s="1"/>
  <c r="T194" i="4"/>
  <c r="U194" i="4" s="1"/>
  <c r="T197" i="4"/>
  <c r="U197" i="4" s="1"/>
  <c r="T256" i="4"/>
  <c r="U256" i="4" s="1"/>
  <c r="T395" i="4"/>
  <c r="U395" i="4" s="1"/>
  <c r="T314" i="4"/>
  <c r="U314" i="4" s="1"/>
  <c r="T26" i="4"/>
  <c r="U26" i="4" s="1"/>
  <c r="T318" i="4"/>
  <c r="U318" i="4" s="1"/>
  <c r="T313" i="4"/>
  <c r="U313" i="4" s="1"/>
  <c r="T394" i="4"/>
  <c r="U394" i="4" s="1"/>
  <c r="T317" i="4"/>
  <c r="U317" i="4" s="1"/>
  <c r="T328" i="4"/>
  <c r="U328" i="4" s="1"/>
  <c r="T508" i="4"/>
  <c r="U508" i="4" s="1"/>
  <c r="T118" i="4"/>
  <c r="U118" i="4" s="1"/>
  <c r="T331" i="4"/>
  <c r="U331" i="4" s="1"/>
  <c r="T257" i="4"/>
  <c r="U257" i="4" s="1"/>
  <c r="T330" i="4"/>
  <c r="U330" i="4" s="1"/>
  <c r="T203" i="4"/>
  <c r="U203" i="4" s="1"/>
  <c r="T316" i="4"/>
  <c r="U316" i="4" s="1"/>
  <c r="U130" i="4"/>
  <c r="U308" i="4"/>
  <c r="U253" i="4"/>
  <c r="U310" i="4"/>
  <c r="U311" i="4"/>
  <c r="Q492" i="4"/>
  <c r="U176" i="4"/>
  <c r="Q424" i="4"/>
  <c r="U238" i="4"/>
  <c r="U503" i="4"/>
  <c r="O431" i="4"/>
  <c r="S492" i="4"/>
  <c r="U192" i="4"/>
  <c r="U82" i="4"/>
  <c r="U166" i="4"/>
  <c r="U295" i="4"/>
  <c r="U324" i="4"/>
  <c r="U27" i="4"/>
  <c r="U254" i="4"/>
  <c r="U178" i="4"/>
  <c r="U502" i="4"/>
  <c r="N431" i="4"/>
  <c r="U151" i="4"/>
  <c r="U306" i="4"/>
  <c r="S518" i="4"/>
  <c r="Q335" i="4"/>
  <c r="Q418" i="4"/>
  <c r="S335" i="4"/>
  <c r="P518" i="4"/>
  <c r="Q320" i="4"/>
  <c r="S418" i="4"/>
  <c r="Q274" i="4"/>
  <c r="S213" i="4"/>
  <c r="S320" i="4"/>
  <c r="S274" i="4"/>
  <c r="Q213" i="4"/>
  <c r="Q378" i="4"/>
  <c r="Q397" i="4"/>
  <c r="S397" i="4"/>
  <c r="Q405" i="4"/>
  <c r="U103" i="4"/>
  <c r="Q363" i="4"/>
  <c r="E45" i="1" s="1"/>
  <c r="AF45" i="1" s="1"/>
  <c r="U290" i="4"/>
  <c r="U460" i="4"/>
  <c r="U464" i="4"/>
  <c r="U500" i="4"/>
  <c r="Q518" i="4"/>
  <c r="S405" i="4"/>
  <c r="U164" i="4"/>
  <c r="U501" i="4"/>
  <c r="U390" i="4"/>
  <c r="U454" i="4"/>
  <c r="U185" i="4"/>
  <c r="U225" i="4"/>
  <c r="U75" i="4"/>
  <c r="U412" i="4"/>
  <c r="U489" i="4"/>
  <c r="U288" i="4"/>
  <c r="U484" i="4"/>
  <c r="U191" i="4"/>
  <c r="U95" i="4"/>
  <c r="U299" i="4"/>
  <c r="U468" i="4"/>
  <c r="U226" i="4"/>
  <c r="U121" i="4"/>
  <c r="U402" i="4"/>
  <c r="U184" i="4"/>
  <c r="U115" i="4"/>
  <c r="U294" i="4"/>
  <c r="U177" i="4"/>
  <c r="U413" i="4"/>
  <c r="U250" i="4"/>
  <c r="U496" i="4"/>
  <c r="U497" i="4"/>
  <c r="U240" i="4"/>
  <c r="U305" i="4"/>
  <c r="U182" i="4"/>
  <c r="U485" i="4"/>
  <c r="U246" i="4"/>
  <c r="U387" i="4"/>
  <c r="U230" i="4"/>
  <c r="U189" i="4"/>
  <c r="U465" i="4"/>
  <c r="U247" i="4"/>
  <c r="U293" i="4"/>
  <c r="U453" i="4"/>
  <c r="U488" i="4"/>
  <c r="U470" i="4"/>
  <c r="U289" i="4"/>
  <c r="U44" i="4"/>
  <c r="U74" i="4"/>
  <c r="U64" i="4"/>
  <c r="U391" i="4"/>
  <c r="U467" i="4"/>
  <c r="U302" i="4"/>
  <c r="U66" i="4"/>
  <c r="U251" i="4"/>
  <c r="U401" i="4"/>
  <c r="U159" i="4"/>
  <c r="U117" i="4"/>
  <c r="U179" i="4"/>
  <c r="U187" i="4"/>
  <c r="U174" i="4"/>
  <c r="U60" i="4"/>
  <c r="U221" i="4"/>
  <c r="U193" i="4"/>
  <c r="U498" i="4"/>
  <c r="U388" i="4"/>
  <c r="U490" i="4"/>
  <c r="U285" i="4"/>
  <c r="U233" i="4"/>
  <c r="U180" i="4"/>
  <c r="U14" i="4"/>
  <c r="U200" i="4"/>
  <c r="U218" i="4"/>
  <c r="U327" i="4"/>
  <c r="U171" i="4"/>
  <c r="U231" i="4"/>
  <c r="U287" i="4"/>
  <c r="U474" i="4"/>
  <c r="U160" i="4"/>
  <c r="U505" i="4"/>
  <c r="U249" i="4"/>
  <c r="U301" i="4"/>
  <c r="U507" i="4"/>
  <c r="U175" i="4"/>
  <c r="U292" i="4"/>
  <c r="U486" i="4"/>
  <c r="U279" i="4"/>
  <c r="U161" i="4"/>
  <c r="U506" i="4"/>
  <c r="U223" i="4"/>
  <c r="U168" i="4"/>
  <c r="U499" i="4"/>
  <c r="U283" i="4"/>
  <c r="U466" i="4"/>
  <c r="U63" i="4"/>
  <c r="U167" i="4"/>
  <c r="U65" i="4"/>
  <c r="U169" i="4"/>
  <c r="U297" i="4"/>
  <c r="U224" i="4"/>
  <c r="U286" i="4"/>
  <c r="U483" i="4"/>
  <c r="U389" i="4"/>
  <c r="U163" i="4"/>
  <c r="U309" i="4"/>
  <c r="Q427" i="4"/>
  <c r="T427" i="4" s="1"/>
  <c r="U459" i="4"/>
  <c r="U510" i="4"/>
  <c r="U227" i="4"/>
  <c r="U443" i="4"/>
  <c r="U303" i="4"/>
  <c r="U94" i="4"/>
  <c r="U278" i="4"/>
  <c r="U291" i="4"/>
  <c r="U472" i="4"/>
  <c r="U181" i="4"/>
  <c r="U411" i="4"/>
  <c r="U186" i="4"/>
  <c r="U25" i="4"/>
  <c r="U24" i="4"/>
  <c r="U504" i="4"/>
  <c r="U487" i="4"/>
  <c r="U457" i="4"/>
  <c r="U81" i="4"/>
  <c r="U232" i="4"/>
  <c r="U84" i="4"/>
  <c r="U252" i="4"/>
  <c r="U83" i="4"/>
  <c r="U73" i="4"/>
  <c r="U456" i="4"/>
  <c r="U300" i="4"/>
  <c r="U93" i="4"/>
  <c r="U188" i="4"/>
  <c r="U72" i="4"/>
  <c r="U241" i="4"/>
  <c r="U228" i="4"/>
  <c r="U220" i="4"/>
  <c r="U455" i="4"/>
  <c r="U170" i="4"/>
  <c r="U326" i="4"/>
  <c r="U173" i="4"/>
  <c r="U248" i="4"/>
  <c r="U234" i="4"/>
  <c r="U296" i="4"/>
  <c r="U236" i="4"/>
  <c r="U138" i="4"/>
  <c r="U172" i="4"/>
  <c r="U312" i="4"/>
  <c r="U116" i="4"/>
  <c r="U219" i="4"/>
  <c r="U280" i="4"/>
  <c r="U235" i="4"/>
  <c r="U461" i="4"/>
  <c r="U165" i="4"/>
  <c r="U237" i="4"/>
  <c r="U446" i="4"/>
  <c r="U325" i="4"/>
  <c r="U304" i="4"/>
  <c r="U92" i="4"/>
  <c r="U298" i="4"/>
  <c r="U332" i="4"/>
  <c r="U403" i="4"/>
  <c r="U281" i="4"/>
  <c r="U386" i="4"/>
  <c r="U131" i="4"/>
  <c r="U229" i="4"/>
  <c r="U473" i="4"/>
  <c r="U242" i="4"/>
  <c r="U307" i="4"/>
  <c r="U282" i="4"/>
  <c r="U469" i="4"/>
  <c r="U222" i="4"/>
  <c r="U162" i="4"/>
  <c r="U284" i="4"/>
  <c r="U471" i="4"/>
  <c r="U239" i="4"/>
  <c r="AC59" i="1"/>
  <c r="D37" i="1"/>
  <c r="P277" i="4"/>
  <c r="P320" i="4" s="1"/>
  <c r="P323" i="4"/>
  <c r="P335" i="4" s="1"/>
  <c r="S571" i="4"/>
  <c r="T589" i="4"/>
  <c r="U589" i="4" s="1"/>
  <c r="T588" i="4"/>
  <c r="U588" i="4" s="1"/>
  <c r="S566" i="4"/>
  <c r="T566" i="4" s="1"/>
  <c r="U566" i="4" s="1"/>
  <c r="S572" i="4"/>
  <c r="T572" i="4" s="1"/>
  <c r="U572" i="4" s="1"/>
  <c r="S573" i="4"/>
  <c r="T573" i="4" s="1"/>
  <c r="U573" i="4" s="1"/>
  <c r="S565" i="4"/>
  <c r="T565" i="4" s="1"/>
  <c r="U565" i="4" s="1"/>
  <c r="P164" i="4"/>
  <c r="P213" i="4" s="1"/>
  <c r="AE37" i="1" l="1"/>
  <c r="D59" i="1"/>
  <c r="P431" i="4"/>
  <c r="Q429" i="4"/>
  <c r="Q431" i="4" s="1"/>
  <c r="U385" i="4"/>
  <c r="U397" i="4" s="1"/>
  <c r="T397" i="4"/>
  <c r="U217" i="4"/>
  <c r="U274" i="4" s="1"/>
  <c r="T274" i="4"/>
  <c r="U366" i="4"/>
  <c r="U378" i="4" s="1"/>
  <c r="T378" i="4"/>
  <c r="U323" i="4"/>
  <c r="U335" i="4" s="1"/>
  <c r="T335" i="4"/>
  <c r="U482" i="4"/>
  <c r="U492" i="4" s="1"/>
  <c r="T492" i="4"/>
  <c r="U495" i="4"/>
  <c r="U518" i="4" s="1"/>
  <c r="T518" i="4"/>
  <c r="U338" i="4"/>
  <c r="U363" i="4" s="1"/>
  <c r="T363" i="4"/>
  <c r="U421" i="4"/>
  <c r="U424" i="4" s="1"/>
  <c r="T424" i="4"/>
  <c r="U405" i="4"/>
  <c r="T405" i="4"/>
  <c r="U410" i="4"/>
  <c r="U418" i="4" s="1"/>
  <c r="T418" i="4"/>
  <c r="S431" i="4"/>
  <c r="U277" i="4"/>
  <c r="U320" i="4" s="1"/>
  <c r="T320" i="4"/>
  <c r="U158" i="4"/>
  <c r="U213" i="4" s="1"/>
  <c r="T213" i="4"/>
  <c r="U71" i="4"/>
  <c r="E57" i="1"/>
  <c r="AF57" i="1" s="1"/>
  <c r="U11" i="4"/>
  <c r="AE59" i="1"/>
  <c r="F57" i="1"/>
  <c r="AG57" i="1" s="1"/>
  <c r="E53" i="1"/>
  <c r="AF53" i="1" s="1"/>
  <c r="F47" i="1"/>
  <c r="AG47" i="1" s="1"/>
  <c r="F45" i="1"/>
  <c r="AG45" i="1" s="1"/>
  <c r="E49" i="1"/>
  <c r="AF49" i="1" s="1"/>
  <c r="E55" i="1"/>
  <c r="AF55" i="1" s="1"/>
  <c r="E51" i="1"/>
  <c r="E67" i="1"/>
  <c r="AF67" i="1" s="1"/>
  <c r="E43" i="1"/>
  <c r="AF43" i="1" s="1"/>
  <c r="E41" i="1"/>
  <c r="AF41" i="1" s="1"/>
  <c r="E37" i="1"/>
  <c r="AF37" i="1" s="1"/>
  <c r="E39" i="1"/>
  <c r="AF39" i="1" s="1"/>
  <c r="E69" i="1"/>
  <c r="AF69" i="1" s="1"/>
  <c r="T571" i="4"/>
  <c r="U571" i="4" s="1"/>
  <c r="AQ382" i="2"/>
  <c r="AO382" i="2"/>
  <c r="AM382" i="2"/>
  <c r="AK382" i="2"/>
  <c r="AQ37" i="2"/>
  <c r="AO37" i="2"/>
  <c r="AK37" i="2"/>
  <c r="AQ52" i="2"/>
  <c r="AO52" i="2"/>
  <c r="AM52" i="2"/>
  <c r="AK52" i="2"/>
  <c r="AQ69" i="2"/>
  <c r="AO69" i="2"/>
  <c r="AM69" i="2"/>
  <c r="AK69" i="2"/>
  <c r="AQ86" i="2"/>
  <c r="AO86" i="2"/>
  <c r="AM86" i="2"/>
  <c r="AK86" i="2"/>
  <c r="AQ102" i="2"/>
  <c r="AO102" i="2"/>
  <c r="AM102" i="2"/>
  <c r="AK102" i="2"/>
  <c r="AQ230" i="2"/>
  <c r="AO230" i="2"/>
  <c r="AM230" i="2"/>
  <c r="AK230" i="2"/>
  <c r="AQ278" i="2"/>
  <c r="AO278" i="2"/>
  <c r="AM278" i="2"/>
  <c r="AK278" i="2"/>
  <c r="AQ324" i="2"/>
  <c r="AO324" i="2"/>
  <c r="AM324" i="2"/>
  <c r="AK324" i="2"/>
  <c r="AQ339" i="2"/>
  <c r="AO339" i="2"/>
  <c r="AM339" i="2"/>
  <c r="AK339" i="2"/>
  <c r="AR370" i="2"/>
  <c r="AQ370" i="2"/>
  <c r="AP370" i="2"/>
  <c r="AO370" i="2"/>
  <c r="AN370" i="2"/>
  <c r="AM370" i="2"/>
  <c r="AL370" i="2"/>
  <c r="AK370" i="2"/>
  <c r="AJ370" i="2"/>
  <c r="AQ364" i="2"/>
  <c r="AO364" i="2"/>
  <c r="AM364" i="2"/>
  <c r="AK364" i="2"/>
  <c r="AQ377" i="2"/>
  <c r="AO377" i="2"/>
  <c r="AM377" i="2"/>
  <c r="AK377" i="2"/>
  <c r="AQ387" i="2"/>
  <c r="AO387" i="2"/>
  <c r="AM387" i="2"/>
  <c r="AK387" i="2"/>
  <c r="AQ397" i="2"/>
  <c r="AO397" i="2"/>
  <c r="AM397" i="2"/>
  <c r="AK397" i="2"/>
  <c r="AQ445" i="2"/>
  <c r="AO445" i="2"/>
  <c r="AM445" i="2"/>
  <c r="AK445" i="2"/>
  <c r="AQ482" i="2"/>
  <c r="AO482" i="2"/>
  <c r="AM482" i="2"/>
  <c r="AK482" i="2"/>
  <c r="AQ502" i="2"/>
  <c r="AO502" i="2"/>
  <c r="AM502" i="2"/>
  <c r="AK502" i="2"/>
  <c r="AP484" i="2"/>
  <c r="AN484" i="2"/>
  <c r="AJ484" i="2"/>
  <c r="AL484" i="2" s="1"/>
  <c r="AP400" i="2"/>
  <c r="AN400" i="2"/>
  <c r="AJ400" i="2"/>
  <c r="AL400" i="2" s="1"/>
  <c r="AP351" i="2"/>
  <c r="AN351" i="2"/>
  <c r="AJ351" i="2"/>
  <c r="AL351" i="2" s="1"/>
  <c r="AP345" i="2"/>
  <c r="AN345" i="2"/>
  <c r="AJ345" i="2"/>
  <c r="AL345" i="2" s="1"/>
  <c r="AP214" i="2"/>
  <c r="AN214" i="2"/>
  <c r="AJ214" i="2"/>
  <c r="AL214" i="2" s="1"/>
  <c r="AP210" i="2"/>
  <c r="AN210" i="2"/>
  <c r="AJ210" i="2"/>
  <c r="AL210" i="2" s="1"/>
  <c r="AP206" i="2"/>
  <c r="AN206" i="2"/>
  <c r="AJ206" i="2"/>
  <c r="AL206" i="2" s="1"/>
  <c r="AP203" i="2"/>
  <c r="AN203" i="2"/>
  <c r="AJ203" i="2"/>
  <c r="AL203" i="2" s="1"/>
  <c r="AP198" i="2"/>
  <c r="AN198" i="2"/>
  <c r="AJ198" i="2"/>
  <c r="AL198" i="2" s="1"/>
  <c r="AP192" i="2"/>
  <c r="AN192" i="2"/>
  <c r="AJ192" i="2"/>
  <c r="AL192" i="2" s="1"/>
  <c r="AP179" i="2"/>
  <c r="AN179" i="2"/>
  <c r="AJ179" i="2"/>
  <c r="AL179" i="2" s="1"/>
  <c r="AP173" i="2"/>
  <c r="AN173" i="2"/>
  <c r="AJ173" i="2"/>
  <c r="AL173" i="2" s="1"/>
  <c r="AP90" i="2"/>
  <c r="AN90" i="2"/>
  <c r="AP39" i="2"/>
  <c r="AN39" i="2"/>
  <c r="AJ39" i="2"/>
  <c r="AL39" i="2" s="1"/>
  <c r="AF51" i="1" l="1"/>
  <c r="E59" i="1"/>
  <c r="U427" i="4"/>
  <c r="U429" i="4" s="1"/>
  <c r="U431" i="4" s="1"/>
  <c r="T429" i="4"/>
  <c r="T431" i="4" s="1"/>
  <c r="G57" i="1"/>
  <c r="AH57" i="1" s="1"/>
  <c r="G47" i="1"/>
  <c r="AH47" i="1" s="1"/>
  <c r="H45" i="1"/>
  <c r="AI45" i="1" s="1"/>
  <c r="G45" i="1"/>
  <c r="AH45" i="1" s="1"/>
  <c r="F39" i="1"/>
  <c r="AG39" i="1" s="1"/>
  <c r="F69" i="1"/>
  <c r="AG69" i="1" s="1"/>
  <c r="F55" i="1"/>
  <c r="AG55" i="1" s="1"/>
  <c r="F67" i="1"/>
  <c r="AG67" i="1" s="1"/>
  <c r="F49" i="1"/>
  <c r="AG49" i="1" s="1"/>
  <c r="F37" i="1"/>
  <c r="AG37" i="1" s="1"/>
  <c r="F51" i="1"/>
  <c r="F41" i="1"/>
  <c r="AG41" i="1" s="1"/>
  <c r="F53" i="1"/>
  <c r="AG53" i="1" s="1"/>
  <c r="F43" i="1"/>
  <c r="AG43" i="1" s="1"/>
  <c r="AR210" i="2"/>
  <c r="AR400" i="2"/>
  <c r="AR203" i="2"/>
  <c r="AR173" i="2"/>
  <c r="AR214" i="2"/>
  <c r="AR345" i="2"/>
  <c r="AR484" i="2"/>
  <c r="AR39" i="2"/>
  <c r="AR198" i="2"/>
  <c r="AM504" i="2"/>
  <c r="AO504" i="2"/>
  <c r="AQ504" i="2"/>
  <c r="AR206" i="2"/>
  <c r="AR351" i="2"/>
  <c r="AK504" i="2"/>
  <c r="AR90" i="2"/>
  <c r="AR179" i="2"/>
  <c r="AR192" i="2"/>
  <c r="AK119" i="2"/>
  <c r="AM119" i="2"/>
  <c r="AQ119" i="2"/>
  <c r="AO119" i="2"/>
  <c r="AM389" i="2"/>
  <c r="AQ389" i="2"/>
  <c r="AK389" i="2"/>
  <c r="AO389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N370" i="2"/>
  <c r="AF59" i="1" l="1"/>
  <c r="AG51" i="1"/>
  <c r="F59" i="1"/>
  <c r="H57" i="1"/>
  <c r="AI57" i="1" s="1"/>
  <c r="H47" i="1"/>
  <c r="AI47" i="1" s="1"/>
  <c r="G39" i="1"/>
  <c r="AH39" i="1" s="1"/>
  <c r="G49" i="1"/>
  <c r="AH49" i="1" s="1"/>
  <c r="G37" i="1"/>
  <c r="AH37" i="1" s="1"/>
  <c r="H53" i="1"/>
  <c r="AI53" i="1" s="1"/>
  <c r="H43" i="1"/>
  <c r="AI43" i="1" s="1"/>
  <c r="H37" i="1"/>
  <c r="AI37" i="1" s="1"/>
  <c r="H67" i="1"/>
  <c r="AI67" i="1" s="1"/>
  <c r="G51" i="1"/>
  <c r="H69" i="1"/>
  <c r="AI69" i="1" s="1"/>
  <c r="H51" i="1"/>
  <c r="G69" i="1"/>
  <c r="AH69" i="1" s="1"/>
  <c r="G67" i="1"/>
  <c r="AH67" i="1" s="1"/>
  <c r="G53" i="1"/>
  <c r="AH53" i="1" s="1"/>
  <c r="G43" i="1"/>
  <c r="AH43" i="1" s="1"/>
  <c r="H39" i="1"/>
  <c r="AI39" i="1" s="1"/>
  <c r="G41" i="1"/>
  <c r="AH41" i="1" s="1"/>
  <c r="H41" i="1"/>
  <c r="AI41" i="1" s="1"/>
  <c r="H49" i="1"/>
  <c r="AI49" i="1" s="1"/>
  <c r="AH17" i="2"/>
  <c r="AG17" i="2"/>
  <c r="AE17" i="2"/>
  <c r="AD17" i="2"/>
  <c r="P17" i="2"/>
  <c r="M17" i="4" s="1"/>
  <c r="T17" i="4" s="1"/>
  <c r="K17" i="2"/>
  <c r="AF17" i="2" s="1"/>
  <c r="AH61" i="2"/>
  <c r="AG61" i="2"/>
  <c r="AE61" i="2"/>
  <c r="AD61" i="2"/>
  <c r="P61" i="2"/>
  <c r="Q61" i="2" s="1"/>
  <c r="K61" i="2"/>
  <c r="AF61" i="2" s="1"/>
  <c r="AH60" i="2"/>
  <c r="AG60" i="2"/>
  <c r="AE60" i="2"/>
  <c r="AD60" i="2"/>
  <c r="Z69" i="2"/>
  <c r="P60" i="2"/>
  <c r="Q60" i="2" s="1"/>
  <c r="K60" i="2"/>
  <c r="AF60" i="2" s="1"/>
  <c r="AH59" i="2"/>
  <c r="AG59" i="2"/>
  <c r="AE59" i="2"/>
  <c r="AD59" i="2"/>
  <c r="P59" i="2"/>
  <c r="Q59" i="2" s="1"/>
  <c r="K59" i="2"/>
  <c r="AF59" i="2" s="1"/>
  <c r="AH58" i="2"/>
  <c r="AG58" i="2"/>
  <c r="AE58" i="2"/>
  <c r="AD58" i="2"/>
  <c r="P58" i="2"/>
  <c r="Q58" i="2" s="1"/>
  <c r="K58" i="2"/>
  <c r="AF58" i="2" s="1"/>
  <c r="AH64" i="2"/>
  <c r="AG64" i="2"/>
  <c r="AE64" i="2"/>
  <c r="AD64" i="2"/>
  <c r="P64" i="2"/>
  <c r="Q64" i="2" s="1"/>
  <c r="K64" i="2"/>
  <c r="AF64" i="2" s="1"/>
  <c r="AH63" i="2"/>
  <c r="AG63" i="2"/>
  <c r="AE63" i="2"/>
  <c r="AD63" i="2"/>
  <c r="P63" i="2"/>
  <c r="Q63" i="2" s="1"/>
  <c r="K63" i="2"/>
  <c r="AF63" i="2" s="1"/>
  <c r="AH57" i="2"/>
  <c r="AG57" i="2"/>
  <c r="AE57" i="2"/>
  <c r="AD57" i="2"/>
  <c r="P57" i="2"/>
  <c r="Q57" i="2" s="1"/>
  <c r="K57" i="2"/>
  <c r="AF57" i="2" s="1"/>
  <c r="AH66" i="2"/>
  <c r="AG66" i="2"/>
  <c r="AE66" i="2"/>
  <c r="AD66" i="2"/>
  <c r="P66" i="2"/>
  <c r="Q66" i="2" s="1"/>
  <c r="K66" i="2"/>
  <c r="AF66" i="2" s="1"/>
  <c r="K72" i="2"/>
  <c r="AH65" i="2"/>
  <c r="AG65" i="2"/>
  <c r="AE65" i="2"/>
  <c r="AD65" i="2"/>
  <c r="P65" i="2"/>
  <c r="Q65" i="2" s="1"/>
  <c r="K65" i="2"/>
  <c r="AF65" i="2" s="1"/>
  <c r="AH62" i="2"/>
  <c r="AG62" i="2"/>
  <c r="AE62" i="2"/>
  <c r="AD62" i="2"/>
  <c r="N62" i="2"/>
  <c r="N69" i="2" s="1"/>
  <c r="K62" i="2"/>
  <c r="AF62" i="2" s="1"/>
  <c r="AH82" i="2"/>
  <c r="AH114" i="2"/>
  <c r="AG114" i="2"/>
  <c r="AE114" i="2"/>
  <c r="AD114" i="2"/>
  <c r="P114" i="2"/>
  <c r="Q114" i="2" s="1"/>
  <c r="K114" i="2"/>
  <c r="AF114" i="2" s="1"/>
  <c r="AH113" i="2"/>
  <c r="AG113" i="2"/>
  <c r="AE113" i="2"/>
  <c r="AD113" i="2"/>
  <c r="P113" i="2"/>
  <c r="Q113" i="2" s="1"/>
  <c r="K113" i="2"/>
  <c r="AF113" i="2" s="1"/>
  <c r="AH112" i="2"/>
  <c r="AG112" i="2"/>
  <c r="AE112" i="2"/>
  <c r="AD112" i="2"/>
  <c r="P112" i="2"/>
  <c r="Q112" i="2" s="1"/>
  <c r="K112" i="2"/>
  <c r="AF112" i="2" s="1"/>
  <c r="AH111" i="2"/>
  <c r="AG111" i="2"/>
  <c r="AE111" i="2"/>
  <c r="AD111" i="2"/>
  <c r="P111" i="2"/>
  <c r="Q111" i="2" s="1"/>
  <c r="K111" i="2"/>
  <c r="AF111" i="2" s="1"/>
  <c r="AH110" i="2"/>
  <c r="AG110" i="2"/>
  <c r="AE110" i="2"/>
  <c r="AD110" i="2"/>
  <c r="P110" i="2"/>
  <c r="Q110" i="2" s="1"/>
  <c r="K110" i="2"/>
  <c r="AF110" i="2" s="1"/>
  <c r="AH109" i="2"/>
  <c r="AG109" i="2"/>
  <c r="AE109" i="2"/>
  <c r="AD109" i="2"/>
  <c r="P109" i="2"/>
  <c r="Q109" i="2" s="1"/>
  <c r="K109" i="2"/>
  <c r="AF109" i="2" s="1"/>
  <c r="AH108" i="2"/>
  <c r="AG108" i="2"/>
  <c r="AE108" i="2"/>
  <c r="AD108" i="2"/>
  <c r="P108" i="2"/>
  <c r="Q108" i="2" s="1"/>
  <c r="K108" i="2"/>
  <c r="AF108" i="2" s="1"/>
  <c r="AH107" i="2"/>
  <c r="AG107" i="2"/>
  <c r="AE107" i="2"/>
  <c r="AD107" i="2"/>
  <c r="P107" i="2"/>
  <c r="Q107" i="2" s="1"/>
  <c r="K107" i="2"/>
  <c r="AF107" i="2" s="1"/>
  <c r="P106" i="2"/>
  <c r="Q106" i="2" s="1"/>
  <c r="AH106" i="2"/>
  <c r="AG106" i="2"/>
  <c r="AE106" i="2"/>
  <c r="AD106" i="2"/>
  <c r="K106" i="2"/>
  <c r="AF106" i="2" s="1"/>
  <c r="AH105" i="2"/>
  <c r="AG105" i="2"/>
  <c r="AE105" i="2"/>
  <c r="AD105" i="2"/>
  <c r="P105" i="2"/>
  <c r="K105" i="2"/>
  <c r="AF105" i="2" s="1"/>
  <c r="AH15" i="2"/>
  <c r="AG15" i="2"/>
  <c r="AE15" i="2"/>
  <c r="AD15" i="2"/>
  <c r="P15" i="2"/>
  <c r="Q15" i="2" s="1"/>
  <c r="K15" i="2"/>
  <c r="AF15" i="2" s="1"/>
  <c r="AH32" i="2"/>
  <c r="AG32" i="2"/>
  <c r="AE32" i="2"/>
  <c r="AD32" i="2"/>
  <c r="P32" i="2"/>
  <c r="Q32" i="2" s="1"/>
  <c r="K32" i="2"/>
  <c r="AF32" i="2" s="1"/>
  <c r="AH16" i="2"/>
  <c r="AG16" i="2"/>
  <c r="AE16" i="2"/>
  <c r="AD16" i="2"/>
  <c r="P16" i="2"/>
  <c r="M15" i="4" s="1"/>
  <c r="T15" i="4" s="1"/>
  <c r="K16" i="2"/>
  <c r="AF16" i="2" s="1"/>
  <c r="AH35" i="2"/>
  <c r="AG35" i="2"/>
  <c r="AE35" i="2"/>
  <c r="AD35" i="2"/>
  <c r="P35" i="2"/>
  <c r="Q35" i="2" s="1"/>
  <c r="K35" i="2"/>
  <c r="AF35" i="2" s="1"/>
  <c r="AH34" i="2"/>
  <c r="AG34" i="2"/>
  <c r="AE34" i="2"/>
  <c r="AD34" i="2"/>
  <c r="P34" i="2"/>
  <c r="Q34" i="2" s="1"/>
  <c r="K34" i="2"/>
  <c r="AF34" i="2" s="1"/>
  <c r="AG59" i="1" l="1"/>
  <c r="S17" i="4"/>
  <c r="S15" i="4"/>
  <c r="AI51" i="1"/>
  <c r="AH51" i="1"/>
  <c r="M18" i="4"/>
  <c r="N17" i="4"/>
  <c r="O17" i="4" s="1"/>
  <c r="P17" i="4" s="1"/>
  <c r="AN16" i="2"/>
  <c r="M16" i="4"/>
  <c r="N15" i="4"/>
  <c r="O15" i="4" s="1"/>
  <c r="P15" i="4" s="1"/>
  <c r="H55" i="1"/>
  <c r="AI55" i="1" s="1"/>
  <c r="G55" i="1"/>
  <c r="AH55" i="1" s="1"/>
  <c r="Q105" i="2"/>
  <c r="Q116" i="2" s="1"/>
  <c r="P116" i="2"/>
  <c r="AN17" i="2"/>
  <c r="AJ106" i="2"/>
  <c r="AN106" i="2"/>
  <c r="AP60" i="2"/>
  <c r="AJ60" i="2"/>
  <c r="AJ15" i="2"/>
  <c r="AN15" i="2"/>
  <c r="AN108" i="2"/>
  <c r="AJ108" i="2"/>
  <c r="AP108" i="2" s="1"/>
  <c r="AJ110" i="2"/>
  <c r="AN110" i="2"/>
  <c r="AN112" i="2"/>
  <c r="AJ112" i="2"/>
  <c r="AP112" i="2" s="1"/>
  <c r="AJ114" i="2"/>
  <c r="AN114" i="2"/>
  <c r="AJ66" i="2"/>
  <c r="AN66" i="2"/>
  <c r="AJ64" i="2"/>
  <c r="AP64" i="2"/>
  <c r="AJ59" i="2"/>
  <c r="AP59" i="2"/>
  <c r="AJ65" i="2"/>
  <c r="AP65" i="2" s="1"/>
  <c r="AN65" i="2"/>
  <c r="AP61" i="2"/>
  <c r="AJ61" i="2"/>
  <c r="AJ34" i="2"/>
  <c r="AN34" i="2"/>
  <c r="AN35" i="2"/>
  <c r="AJ35" i="2"/>
  <c r="AN32" i="2"/>
  <c r="AJ32" i="2"/>
  <c r="AP32" i="2" s="1"/>
  <c r="AJ105" i="2"/>
  <c r="AN105" i="2"/>
  <c r="AJ107" i="2"/>
  <c r="AN107" i="2"/>
  <c r="AJ109" i="2"/>
  <c r="AN109" i="2"/>
  <c r="AJ111" i="2"/>
  <c r="AN111" i="2"/>
  <c r="AJ113" i="2"/>
  <c r="AP113" i="2" s="1"/>
  <c r="AN113" i="2"/>
  <c r="AP57" i="2"/>
  <c r="AJ57" i="2"/>
  <c r="AJ63" i="2"/>
  <c r="AP63" i="2"/>
  <c r="AJ58" i="2"/>
  <c r="AP58" i="2"/>
  <c r="Q16" i="2"/>
  <c r="R16" i="2" s="1"/>
  <c r="V16" i="2" s="1"/>
  <c r="AJ16" i="2"/>
  <c r="Q17" i="2"/>
  <c r="R17" i="2" s="1"/>
  <c r="T17" i="2" s="1"/>
  <c r="X17" i="2" s="1"/>
  <c r="Y17" i="2" s="1"/>
  <c r="AA17" i="2" s="1"/>
  <c r="AJ17" i="2"/>
  <c r="P62" i="2"/>
  <c r="P69" i="2" s="1"/>
  <c r="R63" i="2"/>
  <c r="T63" i="2" s="1"/>
  <c r="X66" i="2"/>
  <c r="Y66" i="2" s="1"/>
  <c r="AA66" i="2" s="1"/>
  <c r="X60" i="2"/>
  <c r="Y60" i="2" s="1"/>
  <c r="AA60" i="2" s="1"/>
  <c r="R57" i="2"/>
  <c r="V57" i="2" s="1"/>
  <c r="R65" i="2"/>
  <c r="T65" i="2" s="1"/>
  <c r="R59" i="2"/>
  <c r="T59" i="2" s="1"/>
  <c r="R62" i="2"/>
  <c r="V62" i="2" s="1"/>
  <c r="R64" i="2"/>
  <c r="T64" i="2" s="1"/>
  <c r="R58" i="2"/>
  <c r="T58" i="2" s="1"/>
  <c r="R66" i="2"/>
  <c r="T66" i="2" s="1"/>
  <c r="R60" i="2"/>
  <c r="V60" i="2" s="1"/>
  <c r="R61" i="2"/>
  <c r="T61" i="2" s="1"/>
  <c r="X61" i="2"/>
  <c r="Y61" i="2" s="1"/>
  <c r="AA61" i="2" s="1"/>
  <c r="X59" i="2"/>
  <c r="Y59" i="2" s="1"/>
  <c r="AA59" i="2" s="1"/>
  <c r="X58" i="2"/>
  <c r="X64" i="2"/>
  <c r="Y64" i="2" s="1"/>
  <c r="AA64" i="2" s="1"/>
  <c r="X63" i="2"/>
  <c r="Y63" i="2" s="1"/>
  <c r="AA63" i="2" s="1"/>
  <c r="X57" i="2"/>
  <c r="X65" i="2"/>
  <c r="Y65" i="2" s="1"/>
  <c r="AA65" i="2" s="1"/>
  <c r="R114" i="2"/>
  <c r="V114" i="2" s="1"/>
  <c r="X114" i="2"/>
  <c r="Y114" i="2" s="1"/>
  <c r="AA114" i="2" s="1"/>
  <c r="R113" i="2"/>
  <c r="V113" i="2" s="1"/>
  <c r="X113" i="2"/>
  <c r="Y113" i="2" s="1"/>
  <c r="AA113" i="2" s="1"/>
  <c r="R112" i="2"/>
  <c r="T112" i="2" s="1"/>
  <c r="R111" i="2"/>
  <c r="V111" i="2" s="1"/>
  <c r="X112" i="2"/>
  <c r="Y112" i="2" s="1"/>
  <c r="AA112" i="2" s="1"/>
  <c r="X111" i="2"/>
  <c r="Y111" i="2" s="1"/>
  <c r="AA111" i="2" s="1"/>
  <c r="R110" i="2"/>
  <c r="V110" i="2" s="1"/>
  <c r="X110" i="2"/>
  <c r="Y110" i="2" s="1"/>
  <c r="AA110" i="2" s="1"/>
  <c r="R109" i="2"/>
  <c r="T109" i="2" s="1"/>
  <c r="X109" i="2"/>
  <c r="Y109" i="2" s="1"/>
  <c r="AA109" i="2" s="1"/>
  <c r="R108" i="2"/>
  <c r="V108" i="2" s="1"/>
  <c r="R107" i="2"/>
  <c r="V107" i="2" s="1"/>
  <c r="X108" i="2"/>
  <c r="Y108" i="2" s="1"/>
  <c r="AA108" i="2" s="1"/>
  <c r="X107" i="2"/>
  <c r="Y107" i="2" s="1"/>
  <c r="AA107" i="2" s="1"/>
  <c r="R106" i="2"/>
  <c r="V106" i="2" s="1"/>
  <c r="X106" i="2"/>
  <c r="Y106" i="2" s="1"/>
  <c r="AA106" i="2" s="1"/>
  <c r="X105" i="2"/>
  <c r="Y105" i="2" s="1"/>
  <c r="AA105" i="2" s="1"/>
  <c r="R15" i="2"/>
  <c r="V15" i="2" s="1"/>
  <c r="R32" i="2"/>
  <c r="V32" i="2" s="1"/>
  <c r="X32" i="2"/>
  <c r="Y32" i="2" s="1"/>
  <c r="AA32" i="2" s="1"/>
  <c r="R35" i="2"/>
  <c r="V35" i="2" s="1"/>
  <c r="R34" i="2"/>
  <c r="T34" i="2" s="1"/>
  <c r="X35" i="2"/>
  <c r="Y35" i="2" s="1"/>
  <c r="AA35" i="2" s="1"/>
  <c r="X34" i="2"/>
  <c r="Y34" i="2" s="1"/>
  <c r="AA34" i="2" s="1"/>
  <c r="AH337" i="2"/>
  <c r="AG337" i="2"/>
  <c r="AE337" i="2"/>
  <c r="AD337" i="2"/>
  <c r="P337" i="2"/>
  <c r="Q337" i="2" s="1"/>
  <c r="K337" i="2"/>
  <c r="AF337" i="2" s="1"/>
  <c r="AH480" i="2"/>
  <c r="AG480" i="2"/>
  <c r="AE480" i="2"/>
  <c r="AD480" i="2"/>
  <c r="P480" i="2"/>
  <c r="Q480" i="2" s="1"/>
  <c r="K480" i="2"/>
  <c r="AF480" i="2" s="1"/>
  <c r="AH479" i="2"/>
  <c r="AG479" i="2"/>
  <c r="AE479" i="2"/>
  <c r="AD479" i="2"/>
  <c r="P479" i="2"/>
  <c r="Q479" i="2" s="1"/>
  <c r="K479" i="2"/>
  <c r="AF479" i="2" s="1"/>
  <c r="AH478" i="2"/>
  <c r="AG478" i="2"/>
  <c r="AE478" i="2"/>
  <c r="AD478" i="2"/>
  <c r="P478" i="2"/>
  <c r="Q478" i="2" s="1"/>
  <c r="K478" i="2"/>
  <c r="AF478" i="2" s="1"/>
  <c r="AH375" i="2"/>
  <c r="AG375" i="2"/>
  <c r="AE375" i="2"/>
  <c r="AD375" i="2"/>
  <c r="P375" i="2"/>
  <c r="Q375" i="2" s="1"/>
  <c r="K375" i="2"/>
  <c r="AF375" i="2" s="1"/>
  <c r="AH100" i="2"/>
  <c r="AG100" i="2"/>
  <c r="AE100" i="2"/>
  <c r="AD100" i="2"/>
  <c r="P100" i="2"/>
  <c r="Q100" i="2" s="1"/>
  <c r="K100" i="2"/>
  <c r="AF100" i="2" s="1"/>
  <c r="AH276" i="2"/>
  <c r="AG276" i="2"/>
  <c r="AE276" i="2"/>
  <c r="AD276" i="2"/>
  <c r="P276" i="2"/>
  <c r="Q276" i="2" s="1"/>
  <c r="K276" i="2"/>
  <c r="AF276" i="2" s="1"/>
  <c r="AH275" i="2"/>
  <c r="AG275" i="2"/>
  <c r="AE275" i="2"/>
  <c r="AD275" i="2"/>
  <c r="P275" i="2"/>
  <c r="Q275" i="2" s="1"/>
  <c r="K275" i="2"/>
  <c r="AF275" i="2" s="1"/>
  <c r="AH443" i="2"/>
  <c r="AG443" i="2"/>
  <c r="AE443" i="2"/>
  <c r="AD443" i="2"/>
  <c r="P443" i="2"/>
  <c r="Q443" i="2" s="1"/>
  <c r="K443" i="2"/>
  <c r="AF443" i="2" s="1"/>
  <c r="AH228" i="2"/>
  <c r="AG228" i="2"/>
  <c r="AE228" i="2"/>
  <c r="AD228" i="2"/>
  <c r="P228" i="2"/>
  <c r="Q228" i="2" s="1"/>
  <c r="K228" i="2"/>
  <c r="AF228" i="2" s="1"/>
  <c r="AH227" i="2"/>
  <c r="AG227" i="2"/>
  <c r="AE227" i="2"/>
  <c r="AD227" i="2"/>
  <c r="P227" i="2"/>
  <c r="Q227" i="2" s="1"/>
  <c r="K227" i="2"/>
  <c r="AF227" i="2" s="1"/>
  <c r="AH226" i="2"/>
  <c r="AG226" i="2"/>
  <c r="AE226" i="2"/>
  <c r="AD226" i="2"/>
  <c r="P226" i="2"/>
  <c r="Q226" i="2" s="1"/>
  <c r="K226" i="2"/>
  <c r="AF226" i="2" s="1"/>
  <c r="AH322" i="2"/>
  <c r="AG322" i="2"/>
  <c r="AE322" i="2"/>
  <c r="AD322" i="2"/>
  <c r="P322" i="2"/>
  <c r="Q322" i="2" s="1"/>
  <c r="K322" i="2"/>
  <c r="AF322" i="2" s="1"/>
  <c r="AH321" i="2"/>
  <c r="AG321" i="2"/>
  <c r="AE321" i="2"/>
  <c r="AD321" i="2"/>
  <c r="P321" i="2"/>
  <c r="Q321" i="2" s="1"/>
  <c r="K321" i="2"/>
  <c r="AF321" i="2" s="1"/>
  <c r="AH320" i="2"/>
  <c r="AG320" i="2"/>
  <c r="AE320" i="2"/>
  <c r="AD320" i="2"/>
  <c r="P320" i="2"/>
  <c r="Q320" i="2" s="1"/>
  <c r="K320" i="2"/>
  <c r="AF320" i="2" s="1"/>
  <c r="AH319" i="2"/>
  <c r="AG319" i="2"/>
  <c r="AE319" i="2"/>
  <c r="AD319" i="2"/>
  <c r="P319" i="2"/>
  <c r="Q319" i="2" s="1"/>
  <c r="K319" i="2"/>
  <c r="AF319" i="2" s="1"/>
  <c r="AH318" i="2"/>
  <c r="AG318" i="2"/>
  <c r="AE318" i="2"/>
  <c r="AD318" i="2"/>
  <c r="P318" i="2"/>
  <c r="Q318" i="2" s="1"/>
  <c r="K318" i="2"/>
  <c r="AF318" i="2" s="1"/>
  <c r="K477" i="2"/>
  <c r="AF477" i="2" s="1"/>
  <c r="AH477" i="2"/>
  <c r="AG477" i="2"/>
  <c r="AE477" i="2"/>
  <c r="AD477" i="2"/>
  <c r="P477" i="2"/>
  <c r="Q477" i="2" s="1"/>
  <c r="AH317" i="2"/>
  <c r="AG317" i="2"/>
  <c r="AE317" i="2"/>
  <c r="AD317" i="2"/>
  <c r="P317" i="2"/>
  <c r="Q317" i="2" s="1"/>
  <c r="K317" i="2"/>
  <c r="AF317" i="2" s="1"/>
  <c r="AH362" i="2"/>
  <c r="AG362" i="2"/>
  <c r="AE362" i="2"/>
  <c r="AD362" i="2"/>
  <c r="P362" i="2"/>
  <c r="Q362" i="2" s="1"/>
  <c r="K362" i="2"/>
  <c r="AF362" i="2" s="1"/>
  <c r="Z387" i="2"/>
  <c r="N387" i="2"/>
  <c r="Z382" i="2"/>
  <c r="N382" i="2"/>
  <c r="AH385" i="2"/>
  <c r="AG385" i="2"/>
  <c r="AE385" i="2"/>
  <c r="AD385" i="2"/>
  <c r="P385" i="2"/>
  <c r="Q385" i="2" s="1"/>
  <c r="Q387" i="2" s="1"/>
  <c r="K385" i="2"/>
  <c r="AF385" i="2" s="1"/>
  <c r="AH380" i="2"/>
  <c r="AG380" i="2"/>
  <c r="AE380" i="2"/>
  <c r="AD380" i="2"/>
  <c r="P380" i="2"/>
  <c r="Q380" i="2" s="1"/>
  <c r="Q382" i="2" s="1"/>
  <c r="K380" i="2"/>
  <c r="AF380" i="2" s="1"/>
  <c r="AH374" i="2"/>
  <c r="AG374" i="2"/>
  <c r="AE374" i="2"/>
  <c r="AD374" i="2"/>
  <c r="P374" i="2"/>
  <c r="Q374" i="2" s="1"/>
  <c r="K374" i="2"/>
  <c r="AF374" i="2" s="1"/>
  <c r="AH373" i="2"/>
  <c r="AG373" i="2"/>
  <c r="AE373" i="2"/>
  <c r="AD373" i="2"/>
  <c r="P373" i="2"/>
  <c r="K373" i="2"/>
  <c r="AF373" i="2" s="1"/>
  <c r="AH360" i="2"/>
  <c r="AG360" i="2"/>
  <c r="AE360" i="2"/>
  <c r="AD360" i="2"/>
  <c r="P360" i="2"/>
  <c r="Q360" i="2" s="1"/>
  <c r="K360" i="2"/>
  <c r="AF360" i="2" s="1"/>
  <c r="Z377" i="2"/>
  <c r="N377" i="2"/>
  <c r="Z364" i="2"/>
  <c r="N364" i="2"/>
  <c r="AH372" i="2"/>
  <c r="AG372" i="2"/>
  <c r="AE372" i="2"/>
  <c r="AD372" i="2"/>
  <c r="P372" i="2"/>
  <c r="Q372" i="2" s="1"/>
  <c r="K372" i="2"/>
  <c r="AF372" i="2" s="1"/>
  <c r="AH361" i="2"/>
  <c r="AG361" i="2"/>
  <c r="AE361" i="2"/>
  <c r="AD361" i="2"/>
  <c r="P361" i="2"/>
  <c r="Q361" i="2" s="1"/>
  <c r="K361" i="2"/>
  <c r="AF361" i="2" s="1"/>
  <c r="AH359" i="2"/>
  <c r="AG359" i="2"/>
  <c r="AE359" i="2"/>
  <c r="AD359" i="2"/>
  <c r="P359" i="2"/>
  <c r="Q359" i="2" s="1"/>
  <c r="K359" i="2"/>
  <c r="AF359" i="2" s="1"/>
  <c r="AH395" i="2"/>
  <c r="AG395" i="2"/>
  <c r="AE395" i="2"/>
  <c r="AD395" i="2"/>
  <c r="P395" i="2"/>
  <c r="Q395" i="2" s="1"/>
  <c r="K395" i="2"/>
  <c r="AF395" i="2" s="1"/>
  <c r="Z397" i="2"/>
  <c r="W397" i="2"/>
  <c r="U397" i="2"/>
  <c r="S397" i="2"/>
  <c r="N397" i="2"/>
  <c r="AH394" i="2"/>
  <c r="AG394" i="2"/>
  <c r="AE394" i="2"/>
  <c r="AD394" i="2"/>
  <c r="P394" i="2"/>
  <c r="Q394" i="2" s="1"/>
  <c r="K394" i="2"/>
  <c r="AF394" i="2" s="1"/>
  <c r="N16" i="4" l="1"/>
  <c r="N18" i="4"/>
  <c r="O18" i="4" s="1"/>
  <c r="S18" i="4" s="1"/>
  <c r="R105" i="2"/>
  <c r="AL105" i="2" s="1"/>
  <c r="U15" i="4"/>
  <c r="U17" i="4"/>
  <c r="G59" i="1"/>
  <c r="H59" i="1"/>
  <c r="AH59" i="1"/>
  <c r="AI59" i="1"/>
  <c r="O16" i="4"/>
  <c r="S16" i="4" s="1"/>
  <c r="Q62" i="2"/>
  <c r="Q69" i="2" s="1"/>
  <c r="M79" i="4"/>
  <c r="T79" i="4" s="1"/>
  <c r="AN116" i="2"/>
  <c r="T105" i="2"/>
  <c r="R116" i="2"/>
  <c r="AP105" i="2"/>
  <c r="AJ116" i="2"/>
  <c r="AA116" i="2"/>
  <c r="AJ394" i="2"/>
  <c r="AP394" i="2" s="1"/>
  <c r="AN394" i="2"/>
  <c r="AJ62" i="2"/>
  <c r="AL62" i="2" s="1"/>
  <c r="AJ380" i="2"/>
  <c r="AN380" i="2"/>
  <c r="AN382" i="2" s="1"/>
  <c r="AL66" i="2"/>
  <c r="AJ395" i="2"/>
  <c r="AN395" i="2"/>
  <c r="AJ385" i="2"/>
  <c r="AN385" i="2"/>
  <c r="AN387" i="2" s="1"/>
  <c r="AL59" i="2"/>
  <c r="AL109" i="2"/>
  <c r="AP34" i="2"/>
  <c r="AL34" i="2"/>
  <c r="AL64" i="2"/>
  <c r="AP114" i="2"/>
  <c r="AL114" i="2"/>
  <c r="AL60" i="2"/>
  <c r="AN317" i="2"/>
  <c r="AJ317" i="2"/>
  <c r="AP317" i="2" s="1"/>
  <c r="AN375" i="2"/>
  <c r="AJ375" i="2"/>
  <c r="AP375" i="2" s="1"/>
  <c r="AJ337" i="2"/>
  <c r="AP337" i="2" s="1"/>
  <c r="AN337" i="2"/>
  <c r="AL63" i="2"/>
  <c r="AP111" i="2"/>
  <c r="AL111" i="2"/>
  <c r="AP35" i="2"/>
  <c r="AL35" i="2"/>
  <c r="AL61" i="2"/>
  <c r="AP66" i="2"/>
  <c r="AP110" i="2"/>
  <c r="AL110" i="2"/>
  <c r="AN374" i="2"/>
  <c r="AJ374" i="2"/>
  <c r="AP374" i="2" s="1"/>
  <c r="AJ479" i="2"/>
  <c r="AN479" i="2"/>
  <c r="AL58" i="2"/>
  <c r="AL57" i="2"/>
  <c r="AP107" i="2"/>
  <c r="AL107" i="2"/>
  <c r="AL65" i="2"/>
  <c r="AL112" i="2"/>
  <c r="AL15" i="2"/>
  <c r="AN361" i="2"/>
  <c r="AJ361" i="2"/>
  <c r="AP361" i="2" s="1"/>
  <c r="AJ360" i="2"/>
  <c r="AP360" i="2" s="1"/>
  <c r="AN360" i="2"/>
  <c r="AN318" i="2"/>
  <c r="AJ318" i="2"/>
  <c r="AJ320" i="2"/>
  <c r="AP320" i="2" s="1"/>
  <c r="AN320" i="2"/>
  <c r="AN322" i="2"/>
  <c r="AJ322" i="2"/>
  <c r="AP322" i="2" s="1"/>
  <c r="AN227" i="2"/>
  <c r="AJ227" i="2"/>
  <c r="AN443" i="2"/>
  <c r="AJ443" i="2"/>
  <c r="AN276" i="2"/>
  <c r="AJ276" i="2"/>
  <c r="AN477" i="2"/>
  <c r="AJ477" i="2"/>
  <c r="AN359" i="2"/>
  <c r="AJ359" i="2"/>
  <c r="AN372" i="2"/>
  <c r="AJ372" i="2"/>
  <c r="AN373" i="2"/>
  <c r="AJ373" i="2"/>
  <c r="AP373" i="2" s="1"/>
  <c r="AN362" i="2"/>
  <c r="AJ362" i="2"/>
  <c r="AJ319" i="2"/>
  <c r="AN319" i="2"/>
  <c r="AN321" i="2"/>
  <c r="AJ321" i="2"/>
  <c r="AN226" i="2"/>
  <c r="AJ226" i="2"/>
  <c r="AP226" i="2" s="1"/>
  <c r="AN228" i="2"/>
  <c r="AJ228" i="2"/>
  <c r="AP228" i="2" s="1"/>
  <c r="AN275" i="2"/>
  <c r="AJ275" i="2"/>
  <c r="AP275" i="2" s="1"/>
  <c r="AN100" i="2"/>
  <c r="AJ100" i="2"/>
  <c r="AN478" i="2"/>
  <c r="AJ478" i="2"/>
  <c r="AN480" i="2"/>
  <c r="AJ480" i="2"/>
  <c r="AL113" i="2"/>
  <c r="AP109" i="2"/>
  <c r="AL32" i="2"/>
  <c r="AL108" i="2"/>
  <c r="AP15" i="2"/>
  <c r="AP106" i="2"/>
  <c r="AL106" i="2"/>
  <c r="AL16" i="2"/>
  <c r="AL17" i="2"/>
  <c r="T57" i="2"/>
  <c r="V63" i="2"/>
  <c r="AB63" i="2" s="1"/>
  <c r="AC63" i="2" s="1"/>
  <c r="AN63" i="2" s="1"/>
  <c r="AR63" i="2" s="1"/>
  <c r="V66" i="2"/>
  <c r="AB66" i="2" s="1"/>
  <c r="AC66" i="2" s="1"/>
  <c r="T62" i="2"/>
  <c r="V59" i="2"/>
  <c r="AB59" i="2" s="1"/>
  <c r="AC59" i="2" s="1"/>
  <c r="T60" i="2"/>
  <c r="V65" i="2"/>
  <c r="AB65" i="2" s="1"/>
  <c r="AC65" i="2" s="1"/>
  <c r="AR65" i="2" s="1"/>
  <c r="V64" i="2"/>
  <c r="AB64" i="2" s="1"/>
  <c r="AC64" i="2" s="1"/>
  <c r="R69" i="2"/>
  <c r="V58" i="2"/>
  <c r="V61" i="2"/>
  <c r="X394" i="2"/>
  <c r="Y394" i="2" s="1"/>
  <c r="AA394" i="2" s="1"/>
  <c r="V17" i="2"/>
  <c r="AB17" i="2" s="1"/>
  <c r="AC17" i="2" s="1"/>
  <c r="AB60" i="2"/>
  <c r="AC60" i="2" s="1"/>
  <c r="Y58" i="2"/>
  <c r="Y57" i="2"/>
  <c r="T113" i="2"/>
  <c r="AB114" i="2"/>
  <c r="AC114" i="2" s="1"/>
  <c r="T114" i="2"/>
  <c r="T111" i="2"/>
  <c r="V112" i="2"/>
  <c r="AB112" i="2" s="1"/>
  <c r="AC112" i="2" s="1"/>
  <c r="AR112" i="2" s="1"/>
  <c r="V105" i="2"/>
  <c r="AB105" i="2" s="1"/>
  <c r="AB113" i="2"/>
  <c r="AC113" i="2" s="1"/>
  <c r="AR113" i="2" s="1"/>
  <c r="T108" i="2"/>
  <c r="AB111" i="2"/>
  <c r="AC111" i="2" s="1"/>
  <c r="AB110" i="2"/>
  <c r="AC110" i="2" s="1"/>
  <c r="T110" i="2"/>
  <c r="V109" i="2"/>
  <c r="AB109" i="2" s="1"/>
  <c r="AC109" i="2" s="1"/>
  <c r="T107" i="2"/>
  <c r="AB108" i="2"/>
  <c r="AC108" i="2" s="1"/>
  <c r="AR108" i="2" s="1"/>
  <c r="AB107" i="2"/>
  <c r="AC107" i="2" s="1"/>
  <c r="AB106" i="2"/>
  <c r="AC106" i="2" s="1"/>
  <c r="T106" i="2"/>
  <c r="T15" i="2"/>
  <c r="X15" i="2" s="1"/>
  <c r="Y15" i="2" s="1"/>
  <c r="AA15" i="2" s="1"/>
  <c r="AB15" i="2" s="1"/>
  <c r="AC15" i="2" s="1"/>
  <c r="T16" i="2"/>
  <c r="X16" i="2" s="1"/>
  <c r="Y16" i="2" s="1"/>
  <c r="AA16" i="2" s="1"/>
  <c r="AB16" i="2" s="1"/>
  <c r="AC16" i="2" s="1"/>
  <c r="T32" i="2"/>
  <c r="AB32" i="2"/>
  <c r="AC32" i="2" s="1"/>
  <c r="AR32" i="2" s="1"/>
  <c r="T35" i="2"/>
  <c r="V34" i="2"/>
  <c r="AB34" i="2" s="1"/>
  <c r="AC34" i="2" s="1"/>
  <c r="X479" i="2"/>
  <c r="Y479" i="2" s="1"/>
  <c r="AA479" i="2" s="1"/>
  <c r="R480" i="2"/>
  <c r="T480" i="2" s="1"/>
  <c r="AB35" i="2"/>
  <c r="AC35" i="2" s="1"/>
  <c r="R337" i="2"/>
  <c r="V337" i="2" s="1"/>
  <c r="X478" i="2"/>
  <c r="Y478" i="2" s="1"/>
  <c r="AA478" i="2" s="1"/>
  <c r="X337" i="2"/>
  <c r="Y337" i="2" s="1"/>
  <c r="AA337" i="2" s="1"/>
  <c r="X480" i="2"/>
  <c r="Y480" i="2" s="1"/>
  <c r="AA480" i="2" s="1"/>
  <c r="R479" i="2"/>
  <c r="V479" i="2" s="1"/>
  <c r="R478" i="2"/>
  <c r="V478" i="2" s="1"/>
  <c r="R375" i="2"/>
  <c r="V375" i="2" s="1"/>
  <c r="R276" i="2"/>
  <c r="T276" i="2" s="1"/>
  <c r="X375" i="2"/>
  <c r="Y375" i="2" s="1"/>
  <c r="AA375" i="2" s="1"/>
  <c r="R100" i="2"/>
  <c r="V100" i="2" s="1"/>
  <c r="X100" i="2"/>
  <c r="Y100" i="2" s="1"/>
  <c r="AA100" i="2" s="1"/>
  <c r="X276" i="2"/>
  <c r="Y276" i="2" s="1"/>
  <c r="AA276" i="2" s="1"/>
  <c r="P387" i="2"/>
  <c r="R443" i="2"/>
  <c r="T443" i="2" s="1"/>
  <c r="R275" i="2"/>
  <c r="V275" i="2" s="1"/>
  <c r="P382" i="2"/>
  <c r="X275" i="2"/>
  <c r="Y275" i="2" s="1"/>
  <c r="AA275" i="2" s="1"/>
  <c r="X443" i="2"/>
  <c r="Y443" i="2" s="1"/>
  <c r="AA443" i="2" s="1"/>
  <c r="R228" i="2"/>
  <c r="V228" i="2" s="1"/>
  <c r="X228" i="2"/>
  <c r="Y228" i="2" s="1"/>
  <c r="AA228" i="2" s="1"/>
  <c r="R227" i="2"/>
  <c r="V227" i="2" s="1"/>
  <c r="X227" i="2"/>
  <c r="Y227" i="2" s="1"/>
  <c r="AA227" i="2" s="1"/>
  <c r="R226" i="2"/>
  <c r="V226" i="2" s="1"/>
  <c r="X226" i="2"/>
  <c r="Y226" i="2" s="1"/>
  <c r="AA226" i="2" s="1"/>
  <c r="R322" i="2"/>
  <c r="V322" i="2" s="1"/>
  <c r="X319" i="2"/>
  <c r="Y319" i="2" s="1"/>
  <c r="AA319" i="2" s="1"/>
  <c r="X322" i="2"/>
  <c r="Y322" i="2" s="1"/>
  <c r="AA322" i="2" s="1"/>
  <c r="R380" i="2"/>
  <c r="R382" i="2" s="1"/>
  <c r="R385" i="2"/>
  <c r="R387" i="2" s="1"/>
  <c r="P364" i="2"/>
  <c r="R321" i="2"/>
  <c r="T321" i="2" s="1"/>
  <c r="R319" i="2"/>
  <c r="V319" i="2" s="1"/>
  <c r="X321" i="2"/>
  <c r="Y321" i="2" s="1"/>
  <c r="AA321" i="2" s="1"/>
  <c r="R318" i="2"/>
  <c r="V318" i="2" s="1"/>
  <c r="R320" i="2"/>
  <c r="T320" i="2" s="1"/>
  <c r="X320" i="2"/>
  <c r="Y320" i="2" s="1"/>
  <c r="AA320" i="2" s="1"/>
  <c r="X318" i="2"/>
  <c r="Y318" i="2" s="1"/>
  <c r="AA318" i="2" s="1"/>
  <c r="X317" i="2"/>
  <c r="Y317" i="2" s="1"/>
  <c r="AA317" i="2" s="1"/>
  <c r="R477" i="2"/>
  <c r="V477" i="2" s="1"/>
  <c r="X477" i="2"/>
  <c r="Y477" i="2" s="1"/>
  <c r="AA477" i="2" s="1"/>
  <c r="R317" i="2"/>
  <c r="V317" i="2" s="1"/>
  <c r="R362" i="2"/>
  <c r="T362" i="2" s="1"/>
  <c r="X362" i="2"/>
  <c r="Y362" i="2" s="1"/>
  <c r="AA362" i="2" s="1"/>
  <c r="X385" i="2"/>
  <c r="R374" i="2"/>
  <c r="V374" i="2" s="1"/>
  <c r="X380" i="2"/>
  <c r="R360" i="2"/>
  <c r="V360" i="2" s="1"/>
  <c r="P377" i="2"/>
  <c r="X374" i="2"/>
  <c r="Y374" i="2" s="1"/>
  <c r="AA374" i="2" s="1"/>
  <c r="X373" i="2"/>
  <c r="Y373" i="2" s="1"/>
  <c r="AA373" i="2" s="1"/>
  <c r="R372" i="2"/>
  <c r="V372" i="2" s="1"/>
  <c r="Q373" i="2"/>
  <c r="Q377" i="2" s="1"/>
  <c r="X360" i="2"/>
  <c r="Y360" i="2" s="1"/>
  <c r="AA360" i="2" s="1"/>
  <c r="Q364" i="2"/>
  <c r="X372" i="2"/>
  <c r="R395" i="2"/>
  <c r="V395" i="2" s="1"/>
  <c r="R361" i="2"/>
  <c r="X361" i="2"/>
  <c r="R359" i="2"/>
  <c r="X359" i="2"/>
  <c r="X395" i="2"/>
  <c r="Y395" i="2" s="1"/>
  <c r="AA395" i="2" s="1"/>
  <c r="R394" i="2"/>
  <c r="V394" i="2" s="1"/>
  <c r="AB394" i="2" s="1"/>
  <c r="AC394" i="2" s="1"/>
  <c r="AH98" i="2"/>
  <c r="AG98" i="2"/>
  <c r="AE98" i="2"/>
  <c r="AD98" i="2"/>
  <c r="N98" i="2"/>
  <c r="P98" i="2" s="1"/>
  <c r="Q98" i="2" s="1"/>
  <c r="K98" i="2"/>
  <c r="AF98" i="2" s="1"/>
  <c r="AH83" i="2"/>
  <c r="AG83" i="2"/>
  <c r="AE83" i="2"/>
  <c r="AD83" i="2"/>
  <c r="N83" i="2"/>
  <c r="K83" i="2"/>
  <c r="AF83" i="2" s="1"/>
  <c r="N50" i="2"/>
  <c r="P50" i="2" s="1"/>
  <c r="Q50" i="2" s="1"/>
  <c r="AH50" i="2"/>
  <c r="AG50" i="2"/>
  <c r="AE50" i="2"/>
  <c r="AD50" i="2"/>
  <c r="K50" i="2"/>
  <c r="AF50" i="2" s="1"/>
  <c r="N33" i="2"/>
  <c r="S79" i="4" l="1"/>
  <c r="P18" i="4"/>
  <c r="Q18" i="4" s="1"/>
  <c r="T18" i="4" s="1"/>
  <c r="P16" i="4"/>
  <c r="Q16" i="4" s="1"/>
  <c r="T16" i="4" s="1"/>
  <c r="AR66" i="2"/>
  <c r="M80" i="4"/>
  <c r="N79" i="4"/>
  <c r="AR34" i="2"/>
  <c r="AR110" i="2"/>
  <c r="AR35" i="2"/>
  <c r="AR106" i="2"/>
  <c r="AJ69" i="2"/>
  <c r="AR15" i="2"/>
  <c r="AR114" i="2"/>
  <c r="T69" i="2"/>
  <c r="X62" i="2"/>
  <c r="AP116" i="2"/>
  <c r="AL116" i="2"/>
  <c r="T116" i="2"/>
  <c r="AC105" i="2"/>
  <c r="AB116" i="2"/>
  <c r="V116" i="2"/>
  <c r="T385" i="2"/>
  <c r="T387" i="2" s="1"/>
  <c r="AR109" i="2"/>
  <c r="V276" i="2"/>
  <c r="AB276" i="2" s="1"/>
  <c r="AC276" i="2" s="1"/>
  <c r="AP395" i="2"/>
  <c r="AL395" i="2"/>
  <c r="AR394" i="2"/>
  <c r="AP385" i="2"/>
  <c r="AP387" i="2" s="1"/>
  <c r="AL385" i="2"/>
  <c r="AL387" i="2" s="1"/>
  <c r="AJ387" i="2"/>
  <c r="AP380" i="2"/>
  <c r="AP382" i="2" s="1"/>
  <c r="AJ382" i="2"/>
  <c r="AL380" i="2"/>
  <c r="AL382" i="2" s="1"/>
  <c r="AL394" i="2"/>
  <c r="AN50" i="2"/>
  <c r="AJ50" i="2"/>
  <c r="AP50" i="2" s="1"/>
  <c r="AN98" i="2"/>
  <c r="AJ98" i="2"/>
  <c r="AP100" i="2"/>
  <c r="AL100" i="2"/>
  <c r="AL321" i="2"/>
  <c r="AP362" i="2"/>
  <c r="AL362" i="2"/>
  <c r="AN364" i="2"/>
  <c r="AL227" i="2"/>
  <c r="AL318" i="2"/>
  <c r="AR111" i="2"/>
  <c r="AL478" i="2"/>
  <c r="AL226" i="2"/>
  <c r="AP372" i="2"/>
  <c r="AJ377" i="2"/>
  <c r="AL372" i="2"/>
  <c r="AP477" i="2"/>
  <c r="AL477" i="2"/>
  <c r="AP443" i="2"/>
  <c r="AL443" i="2"/>
  <c r="AL360" i="2"/>
  <c r="AL479" i="2"/>
  <c r="AL69" i="2"/>
  <c r="AL337" i="2"/>
  <c r="AN59" i="2"/>
  <c r="AR59" i="2" s="1"/>
  <c r="AL275" i="2"/>
  <c r="AL228" i="2"/>
  <c r="AN377" i="2"/>
  <c r="AL322" i="2"/>
  <c r="AP318" i="2"/>
  <c r="AL374" i="2"/>
  <c r="AL375" i="2"/>
  <c r="AL317" i="2"/>
  <c r="AN83" i="2"/>
  <c r="AN60" i="2"/>
  <c r="AR60" i="2" s="1"/>
  <c r="AN64" i="2"/>
  <c r="AP480" i="2"/>
  <c r="AL480" i="2"/>
  <c r="AP478" i="2"/>
  <c r="AP321" i="2"/>
  <c r="AP319" i="2"/>
  <c r="AL319" i="2"/>
  <c r="AP359" i="2"/>
  <c r="AJ364" i="2"/>
  <c r="AL359" i="2"/>
  <c r="AP276" i="2"/>
  <c r="AL276" i="2"/>
  <c r="AP227" i="2"/>
  <c r="AL320" i="2"/>
  <c r="AL361" i="2"/>
  <c r="AR107" i="2"/>
  <c r="AP479" i="2"/>
  <c r="AP16" i="2"/>
  <c r="AR16" i="2" s="1"/>
  <c r="AP17" i="2"/>
  <c r="AR17" i="2" s="1"/>
  <c r="V69" i="2"/>
  <c r="AB61" i="2"/>
  <c r="AC61" i="2" s="1"/>
  <c r="AN61" i="2" s="1"/>
  <c r="AR61" i="2" s="1"/>
  <c r="R373" i="2"/>
  <c r="V373" i="2" s="1"/>
  <c r="AB373" i="2" s="1"/>
  <c r="AC373" i="2" s="1"/>
  <c r="AR373" i="2" s="1"/>
  <c r="AA58" i="2"/>
  <c r="AA57" i="2"/>
  <c r="AB479" i="2"/>
  <c r="AC479" i="2" s="1"/>
  <c r="AB478" i="2"/>
  <c r="AC478" i="2" s="1"/>
  <c r="V480" i="2"/>
  <c r="AB480" i="2" s="1"/>
  <c r="AC480" i="2" s="1"/>
  <c r="T337" i="2"/>
  <c r="T479" i="2"/>
  <c r="T478" i="2"/>
  <c r="AB337" i="2"/>
  <c r="AC337" i="2" s="1"/>
  <c r="AR337" i="2" s="1"/>
  <c r="T375" i="2"/>
  <c r="AB375" i="2"/>
  <c r="AC375" i="2" s="1"/>
  <c r="AR375" i="2" s="1"/>
  <c r="V443" i="2"/>
  <c r="AB443" i="2" s="1"/>
  <c r="AC443" i="2" s="1"/>
  <c r="T100" i="2"/>
  <c r="AB100" i="2"/>
  <c r="AC100" i="2" s="1"/>
  <c r="T318" i="2"/>
  <c r="AB319" i="2"/>
  <c r="AC319" i="2" s="1"/>
  <c r="V380" i="2"/>
  <c r="V382" i="2" s="1"/>
  <c r="T380" i="2"/>
  <c r="T382" i="2" s="1"/>
  <c r="T275" i="2"/>
  <c r="AB275" i="2"/>
  <c r="AC275" i="2" s="1"/>
  <c r="AR275" i="2" s="1"/>
  <c r="V385" i="2"/>
  <c r="V387" i="2" s="1"/>
  <c r="AB228" i="2"/>
  <c r="AC228" i="2" s="1"/>
  <c r="AR228" i="2" s="1"/>
  <c r="T228" i="2"/>
  <c r="T227" i="2"/>
  <c r="T319" i="2"/>
  <c r="T322" i="2"/>
  <c r="V321" i="2"/>
  <c r="AB321" i="2" s="1"/>
  <c r="AC321" i="2" s="1"/>
  <c r="T226" i="2"/>
  <c r="AB226" i="2"/>
  <c r="AC226" i="2" s="1"/>
  <c r="AR226" i="2" s="1"/>
  <c r="AB227" i="2"/>
  <c r="AC227" i="2" s="1"/>
  <c r="V320" i="2"/>
  <c r="AB320" i="2" s="1"/>
  <c r="AC320" i="2" s="1"/>
  <c r="AR320" i="2" s="1"/>
  <c r="AB322" i="2"/>
  <c r="AC322" i="2" s="1"/>
  <c r="AR322" i="2" s="1"/>
  <c r="Y380" i="2"/>
  <c r="X382" i="2"/>
  <c r="Y385" i="2"/>
  <c r="X387" i="2"/>
  <c r="T395" i="2"/>
  <c r="T394" i="2"/>
  <c r="AB318" i="2"/>
  <c r="AC318" i="2" s="1"/>
  <c r="AB317" i="2"/>
  <c r="AC317" i="2" s="1"/>
  <c r="AR317" i="2" s="1"/>
  <c r="V362" i="2"/>
  <c r="AB362" i="2" s="1"/>
  <c r="AC362" i="2" s="1"/>
  <c r="T477" i="2"/>
  <c r="T317" i="2"/>
  <c r="AB477" i="2"/>
  <c r="AC477" i="2" s="1"/>
  <c r="T360" i="2"/>
  <c r="T374" i="2"/>
  <c r="T372" i="2"/>
  <c r="AB374" i="2"/>
  <c r="AC374" i="2" s="1"/>
  <c r="AR374" i="2" s="1"/>
  <c r="AB360" i="2"/>
  <c r="AC360" i="2" s="1"/>
  <c r="AR360" i="2" s="1"/>
  <c r="V359" i="2"/>
  <c r="R364" i="2"/>
  <c r="Y361" i="2"/>
  <c r="V361" i="2"/>
  <c r="Y372" i="2"/>
  <c r="X377" i="2"/>
  <c r="Y359" i="2"/>
  <c r="X364" i="2"/>
  <c r="T361" i="2"/>
  <c r="T359" i="2"/>
  <c r="AB395" i="2"/>
  <c r="AC395" i="2" s="1"/>
  <c r="R98" i="2"/>
  <c r="X98" i="2"/>
  <c r="Y98" i="2" s="1"/>
  <c r="AA98" i="2" s="1"/>
  <c r="P83" i="2"/>
  <c r="Q83" i="2" s="1"/>
  <c r="R83" i="2" s="1"/>
  <c r="R50" i="2"/>
  <c r="T50" i="2" s="1"/>
  <c r="X50" i="2"/>
  <c r="Y50" i="2" s="1"/>
  <c r="AA50" i="2" s="1"/>
  <c r="AH33" i="2"/>
  <c r="AG33" i="2"/>
  <c r="AE33" i="2"/>
  <c r="AD33" i="2"/>
  <c r="K33" i="2"/>
  <c r="AF33" i="2" s="1"/>
  <c r="AH476" i="2"/>
  <c r="AG476" i="2"/>
  <c r="AE476" i="2"/>
  <c r="AD476" i="2"/>
  <c r="P476" i="2"/>
  <c r="Q476" i="2" s="1"/>
  <c r="K476" i="2"/>
  <c r="AF476" i="2" s="1"/>
  <c r="AH442" i="2"/>
  <c r="AG442" i="2"/>
  <c r="AE442" i="2"/>
  <c r="AD442" i="2"/>
  <c r="P442" i="2"/>
  <c r="Q442" i="2" s="1"/>
  <c r="K442" i="2"/>
  <c r="AF442" i="2" s="1"/>
  <c r="AH441" i="2"/>
  <c r="AG441" i="2"/>
  <c r="AE441" i="2"/>
  <c r="AD441" i="2"/>
  <c r="P441" i="2"/>
  <c r="Q441" i="2" s="1"/>
  <c r="K441" i="2"/>
  <c r="AF441" i="2" s="1"/>
  <c r="AH99" i="2"/>
  <c r="AG99" i="2"/>
  <c r="AE99" i="2"/>
  <c r="AD99" i="2"/>
  <c r="P99" i="2"/>
  <c r="Q99" i="2" s="1"/>
  <c r="K99" i="2"/>
  <c r="AF99" i="2" s="1"/>
  <c r="AH440" i="2"/>
  <c r="AG440" i="2"/>
  <c r="AE440" i="2"/>
  <c r="AD440" i="2"/>
  <c r="P440" i="2"/>
  <c r="Q440" i="2" s="1"/>
  <c r="K440" i="2"/>
  <c r="AF440" i="2" s="1"/>
  <c r="N316" i="2"/>
  <c r="P316" i="2" s="1"/>
  <c r="Q316" i="2" s="1"/>
  <c r="AH316" i="2"/>
  <c r="AG316" i="2"/>
  <c r="AE316" i="2"/>
  <c r="AD316" i="2"/>
  <c r="K316" i="2"/>
  <c r="AF316" i="2" s="1"/>
  <c r="AH315" i="2"/>
  <c r="AG315" i="2"/>
  <c r="AE315" i="2"/>
  <c r="AD315" i="2"/>
  <c r="P315" i="2"/>
  <c r="Q315" i="2" s="1"/>
  <c r="K315" i="2"/>
  <c r="AF315" i="2" s="1"/>
  <c r="AH314" i="2"/>
  <c r="AG314" i="2"/>
  <c r="AE314" i="2"/>
  <c r="AD314" i="2"/>
  <c r="P314" i="2"/>
  <c r="Q314" i="2" s="1"/>
  <c r="K314" i="2"/>
  <c r="AF314" i="2" s="1"/>
  <c r="AH313" i="2"/>
  <c r="AG313" i="2"/>
  <c r="AE313" i="2"/>
  <c r="AD313" i="2"/>
  <c r="P313" i="2"/>
  <c r="Q313" i="2" s="1"/>
  <c r="K313" i="2"/>
  <c r="AF313" i="2" s="1"/>
  <c r="AH312" i="2"/>
  <c r="AG312" i="2"/>
  <c r="AE312" i="2"/>
  <c r="AD312" i="2"/>
  <c r="P312" i="2"/>
  <c r="Q312" i="2" s="1"/>
  <c r="K312" i="2"/>
  <c r="AF312" i="2" s="1"/>
  <c r="AH475" i="2"/>
  <c r="AG475" i="2"/>
  <c r="AE475" i="2"/>
  <c r="AD475" i="2"/>
  <c r="P475" i="2"/>
  <c r="Q475" i="2" s="1"/>
  <c r="K475" i="2"/>
  <c r="AF475" i="2" s="1"/>
  <c r="AG82" i="2"/>
  <c r="AE82" i="2"/>
  <c r="AD82" i="2"/>
  <c r="P82" i="2"/>
  <c r="Q82" i="2" s="1"/>
  <c r="K82" i="2"/>
  <c r="AF82" i="2" s="1"/>
  <c r="AH336" i="2"/>
  <c r="AG336" i="2"/>
  <c r="AE336" i="2"/>
  <c r="AD336" i="2"/>
  <c r="P336" i="2"/>
  <c r="Q336" i="2" s="1"/>
  <c r="K336" i="2"/>
  <c r="AF336" i="2" s="1"/>
  <c r="V377" i="2" l="1"/>
  <c r="N80" i="4"/>
  <c r="AR227" i="2"/>
  <c r="U16" i="4"/>
  <c r="U18" i="4"/>
  <c r="U79" i="4"/>
  <c r="O80" i="4"/>
  <c r="S80" i="4" s="1"/>
  <c r="O79" i="4"/>
  <c r="X83" i="2"/>
  <c r="Y83" i="2" s="1"/>
  <c r="AA83" i="2" s="1"/>
  <c r="AR443" i="2"/>
  <c r="Y62" i="2"/>
  <c r="X69" i="2"/>
  <c r="AR105" i="2"/>
  <c r="AR116" i="2" s="1"/>
  <c r="AC116" i="2"/>
  <c r="AR362" i="2"/>
  <c r="AR318" i="2"/>
  <c r="AR276" i="2"/>
  <c r="AR100" i="2"/>
  <c r="AR480" i="2"/>
  <c r="AR64" i="2"/>
  <c r="AJ83" i="2"/>
  <c r="AP83" i="2" s="1"/>
  <c r="AR395" i="2"/>
  <c r="AJ313" i="2"/>
  <c r="AP313" i="2" s="1"/>
  <c r="AN313" i="2"/>
  <c r="AJ440" i="2"/>
  <c r="AN440" i="2"/>
  <c r="AN441" i="2"/>
  <c r="AJ441" i="2"/>
  <c r="AP441" i="2" s="1"/>
  <c r="AJ476" i="2"/>
  <c r="AN476" i="2"/>
  <c r="AN336" i="2"/>
  <c r="AJ336" i="2"/>
  <c r="AJ312" i="2"/>
  <c r="AP312" i="2" s="1"/>
  <c r="AN312" i="2"/>
  <c r="AN314" i="2"/>
  <c r="AJ314" i="2"/>
  <c r="AJ99" i="2"/>
  <c r="AN99" i="2"/>
  <c r="AJ442" i="2"/>
  <c r="AN442" i="2"/>
  <c r="AN33" i="2"/>
  <c r="AR319" i="2"/>
  <c r="AR478" i="2"/>
  <c r="AL98" i="2"/>
  <c r="AP364" i="2"/>
  <c r="AR321" i="2"/>
  <c r="AJ82" i="2"/>
  <c r="AN82" i="2"/>
  <c r="AN475" i="2"/>
  <c r="AJ475" i="2"/>
  <c r="AL373" i="2"/>
  <c r="AL377" i="2" s="1"/>
  <c r="AP377" i="2"/>
  <c r="AP98" i="2"/>
  <c r="AJ315" i="2"/>
  <c r="AN315" i="2"/>
  <c r="AJ316" i="2"/>
  <c r="AN316" i="2"/>
  <c r="AR479" i="2"/>
  <c r="AL364" i="2"/>
  <c r="AR477" i="2"/>
  <c r="AL50" i="2"/>
  <c r="V364" i="2"/>
  <c r="T364" i="2"/>
  <c r="R377" i="2"/>
  <c r="T373" i="2"/>
  <c r="T377" i="2" s="1"/>
  <c r="AB58" i="2"/>
  <c r="AB57" i="2"/>
  <c r="AC57" i="2" s="1"/>
  <c r="AA385" i="2"/>
  <c r="Y387" i="2"/>
  <c r="AA380" i="2"/>
  <c r="Y382" i="2"/>
  <c r="AA372" i="2"/>
  <c r="Y377" i="2"/>
  <c r="AA361" i="2"/>
  <c r="AA359" i="2"/>
  <c r="Y364" i="2"/>
  <c r="V98" i="2"/>
  <c r="AB98" i="2" s="1"/>
  <c r="AC98" i="2" s="1"/>
  <c r="T98" i="2"/>
  <c r="V50" i="2"/>
  <c r="AB50" i="2" s="1"/>
  <c r="AC50" i="2" s="1"/>
  <c r="AR50" i="2" s="1"/>
  <c r="V83" i="2"/>
  <c r="T83" i="2"/>
  <c r="P33" i="2"/>
  <c r="Q33" i="2" s="1"/>
  <c r="R33" i="2" s="1"/>
  <c r="X33" i="2"/>
  <c r="Y33" i="2" s="1"/>
  <c r="AA33" i="2" s="1"/>
  <c r="R441" i="2"/>
  <c r="V441" i="2" s="1"/>
  <c r="R99" i="2"/>
  <c r="T99" i="2" s="1"/>
  <c r="R442" i="2"/>
  <c r="V442" i="2" s="1"/>
  <c r="R476" i="2"/>
  <c r="V476" i="2" s="1"/>
  <c r="X476" i="2"/>
  <c r="Y476" i="2" s="1"/>
  <c r="AA476" i="2" s="1"/>
  <c r="X442" i="2"/>
  <c r="Y442" i="2" s="1"/>
  <c r="AA442" i="2" s="1"/>
  <c r="X441" i="2"/>
  <c r="Y441" i="2" s="1"/>
  <c r="AA441" i="2" s="1"/>
  <c r="X99" i="2"/>
  <c r="Y99" i="2" s="1"/>
  <c r="AA99" i="2" s="1"/>
  <c r="R440" i="2"/>
  <c r="V440" i="2" s="1"/>
  <c r="X440" i="2"/>
  <c r="Y440" i="2" s="1"/>
  <c r="AA440" i="2" s="1"/>
  <c r="R312" i="2"/>
  <c r="V312" i="2" s="1"/>
  <c r="R316" i="2"/>
  <c r="X316" i="2"/>
  <c r="Y316" i="2" s="1"/>
  <c r="AA316" i="2" s="1"/>
  <c r="R313" i="2"/>
  <c r="V313" i="2" s="1"/>
  <c r="R314" i="2"/>
  <c r="V314" i="2" s="1"/>
  <c r="R315" i="2"/>
  <c r="X315" i="2"/>
  <c r="Y315" i="2" s="1"/>
  <c r="AA315" i="2" s="1"/>
  <c r="X314" i="2"/>
  <c r="Y314" i="2" s="1"/>
  <c r="AA314" i="2" s="1"/>
  <c r="X313" i="2"/>
  <c r="Y313" i="2" s="1"/>
  <c r="AA313" i="2" s="1"/>
  <c r="X312" i="2"/>
  <c r="Y312" i="2" s="1"/>
  <c r="AA312" i="2" s="1"/>
  <c r="R475" i="2"/>
  <c r="V475" i="2" s="1"/>
  <c r="X475" i="2"/>
  <c r="Y475" i="2" s="1"/>
  <c r="AA475" i="2" s="1"/>
  <c r="R82" i="2"/>
  <c r="V82" i="2" s="1"/>
  <c r="X82" i="2"/>
  <c r="Y82" i="2" s="1"/>
  <c r="AA82" i="2" s="1"/>
  <c r="R336" i="2"/>
  <c r="X336" i="2"/>
  <c r="Y336" i="2" s="1"/>
  <c r="AA336" i="2" s="1"/>
  <c r="AB83" i="2" l="1"/>
  <c r="AC83" i="2" s="1"/>
  <c r="P80" i="4"/>
  <c r="Q80" i="4" s="1"/>
  <c r="T80" i="4" s="1"/>
  <c r="AL83" i="2"/>
  <c r="P79" i="4"/>
  <c r="AA62" i="2"/>
  <c r="Y69" i="2"/>
  <c r="AR98" i="2"/>
  <c r="AR83" i="2"/>
  <c r="AJ33" i="2"/>
  <c r="AP33" i="2" s="1"/>
  <c r="AN57" i="2"/>
  <c r="AR57" i="2" s="1"/>
  <c r="AL316" i="2"/>
  <c r="AL99" i="2"/>
  <c r="AL336" i="2"/>
  <c r="AP440" i="2"/>
  <c r="AL440" i="2"/>
  <c r="AL475" i="2"/>
  <c r="AP82" i="2"/>
  <c r="AL82" i="2"/>
  <c r="AL442" i="2"/>
  <c r="AL314" i="2"/>
  <c r="AL441" i="2"/>
  <c r="AP316" i="2"/>
  <c r="AP315" i="2"/>
  <c r="AL315" i="2"/>
  <c r="AP99" i="2"/>
  <c r="AL312" i="2"/>
  <c r="AP475" i="2"/>
  <c r="AP442" i="2"/>
  <c r="AP314" i="2"/>
  <c r="AP336" i="2"/>
  <c r="AP476" i="2"/>
  <c r="AL476" i="2"/>
  <c r="AL313" i="2"/>
  <c r="AC58" i="2"/>
  <c r="AB380" i="2"/>
  <c r="AA382" i="2"/>
  <c r="AB385" i="2"/>
  <c r="AA387" i="2"/>
  <c r="AB361" i="2"/>
  <c r="AA364" i="2"/>
  <c r="AB359" i="2"/>
  <c r="AB372" i="2"/>
  <c r="AA377" i="2"/>
  <c r="T314" i="2"/>
  <c r="V99" i="2"/>
  <c r="AB99" i="2" s="1"/>
  <c r="AC99" i="2" s="1"/>
  <c r="T312" i="2"/>
  <c r="T441" i="2"/>
  <c r="V33" i="2"/>
  <c r="AB33" i="2" s="1"/>
  <c r="AC33" i="2" s="1"/>
  <c r="T33" i="2"/>
  <c r="AB442" i="2"/>
  <c r="AC442" i="2" s="1"/>
  <c r="T442" i="2"/>
  <c r="T476" i="2"/>
  <c r="AB476" i="2"/>
  <c r="AC476" i="2" s="1"/>
  <c r="AB441" i="2"/>
  <c r="AC441" i="2" s="1"/>
  <c r="AR441" i="2" s="1"/>
  <c r="T440" i="2"/>
  <c r="AB440" i="2"/>
  <c r="AC440" i="2" s="1"/>
  <c r="AB313" i="2"/>
  <c r="AC313" i="2" s="1"/>
  <c r="AR313" i="2" s="1"/>
  <c r="T313" i="2"/>
  <c r="V316" i="2"/>
  <c r="AB316" i="2" s="1"/>
  <c r="AC316" i="2" s="1"/>
  <c r="T316" i="2"/>
  <c r="AB314" i="2"/>
  <c r="AC314" i="2" s="1"/>
  <c r="V315" i="2"/>
  <c r="AB315" i="2" s="1"/>
  <c r="AC315" i="2" s="1"/>
  <c r="T315" i="2"/>
  <c r="AB312" i="2"/>
  <c r="AC312" i="2" s="1"/>
  <c r="AR312" i="2" s="1"/>
  <c r="T475" i="2"/>
  <c r="AB475" i="2"/>
  <c r="AC475" i="2" s="1"/>
  <c r="T82" i="2"/>
  <c r="AB82" i="2"/>
  <c r="AC82" i="2" s="1"/>
  <c r="V336" i="2"/>
  <c r="AB336" i="2" s="1"/>
  <c r="AC336" i="2" s="1"/>
  <c r="T336" i="2"/>
  <c r="U80" i="4" l="1"/>
  <c r="AR475" i="2"/>
  <c r="AR336" i="2"/>
  <c r="AB62" i="2"/>
  <c r="AA69" i="2"/>
  <c r="AR440" i="2"/>
  <c r="AR33" i="2"/>
  <c r="AL33" i="2"/>
  <c r="AR314" i="2"/>
  <c r="AR476" i="2"/>
  <c r="AN58" i="2"/>
  <c r="AR58" i="2" s="1"/>
  <c r="AR442" i="2"/>
  <c r="AR82" i="2"/>
  <c r="AR99" i="2"/>
  <c r="AR315" i="2"/>
  <c r="AR316" i="2"/>
  <c r="AC385" i="2"/>
  <c r="AB387" i="2"/>
  <c r="AC380" i="2"/>
  <c r="AB382" i="2"/>
  <c r="AC359" i="2"/>
  <c r="AR359" i="2" s="1"/>
  <c r="AB364" i="2"/>
  <c r="AC361" i="2"/>
  <c r="AR361" i="2" s="1"/>
  <c r="AC372" i="2"/>
  <c r="AB377" i="2"/>
  <c r="N31" i="2"/>
  <c r="AH31" i="2"/>
  <c r="AG31" i="2"/>
  <c r="AE31" i="2"/>
  <c r="AD31" i="2"/>
  <c r="K31" i="2"/>
  <c r="AF31" i="2" s="1"/>
  <c r="N49" i="2"/>
  <c r="P49" i="2" s="1"/>
  <c r="Q49" i="2" s="1"/>
  <c r="AH49" i="2"/>
  <c r="AG49" i="2"/>
  <c r="AE49" i="2"/>
  <c r="AD49" i="2"/>
  <c r="K49" i="2"/>
  <c r="AF49" i="2" s="1"/>
  <c r="AH81" i="2"/>
  <c r="AG81" i="2"/>
  <c r="AE81" i="2"/>
  <c r="AD81" i="2"/>
  <c r="N81" i="2"/>
  <c r="K81" i="2"/>
  <c r="AF81" i="2" s="1"/>
  <c r="AH97" i="2"/>
  <c r="AG97" i="2"/>
  <c r="AE97" i="2"/>
  <c r="AD97" i="2"/>
  <c r="N97" i="2"/>
  <c r="P97" i="2" s="1"/>
  <c r="Q97" i="2" s="1"/>
  <c r="K97" i="2"/>
  <c r="AF97" i="2" s="1"/>
  <c r="AH439" i="2"/>
  <c r="AG439" i="2"/>
  <c r="AE439" i="2"/>
  <c r="AD439" i="2"/>
  <c r="P439" i="2"/>
  <c r="Q439" i="2" s="1"/>
  <c r="K439" i="2"/>
  <c r="AF439" i="2" s="1"/>
  <c r="AH438" i="2"/>
  <c r="AG438" i="2"/>
  <c r="AE438" i="2"/>
  <c r="AD438" i="2"/>
  <c r="P438" i="2"/>
  <c r="Q438" i="2" s="1"/>
  <c r="K438" i="2"/>
  <c r="AF438" i="2" s="1"/>
  <c r="AH274" i="2"/>
  <c r="AG274" i="2"/>
  <c r="AE274" i="2"/>
  <c r="AD274" i="2"/>
  <c r="P274" i="2"/>
  <c r="Q274" i="2" s="1"/>
  <c r="K274" i="2"/>
  <c r="AF274" i="2" s="1"/>
  <c r="AH354" i="2"/>
  <c r="AG354" i="2"/>
  <c r="AE354" i="2"/>
  <c r="AD354" i="2"/>
  <c r="P354" i="2"/>
  <c r="Q354" i="2" s="1"/>
  <c r="K354" i="2"/>
  <c r="AF354" i="2" s="1"/>
  <c r="AH225" i="2"/>
  <c r="AG225" i="2"/>
  <c r="AE225" i="2"/>
  <c r="AD225" i="2"/>
  <c r="P225" i="2"/>
  <c r="Q225" i="2" s="1"/>
  <c r="AH224" i="2"/>
  <c r="AG224" i="2"/>
  <c r="AE224" i="2"/>
  <c r="AD224" i="2"/>
  <c r="AH223" i="2"/>
  <c r="AG223" i="2"/>
  <c r="AE223" i="2"/>
  <c r="AD223" i="2"/>
  <c r="K225" i="2"/>
  <c r="AF225" i="2" s="1"/>
  <c r="N224" i="2"/>
  <c r="P224" i="2" s="1"/>
  <c r="Q224" i="2" s="1"/>
  <c r="K224" i="2"/>
  <c r="AF224" i="2" s="1"/>
  <c r="C224" i="2"/>
  <c r="N223" i="2"/>
  <c r="P223" i="2" s="1"/>
  <c r="Q223" i="2" s="1"/>
  <c r="K223" i="2"/>
  <c r="AF223" i="2" s="1"/>
  <c r="C223" i="2"/>
  <c r="N30" i="2"/>
  <c r="P30" i="2" s="1"/>
  <c r="Q30" i="2" s="1"/>
  <c r="AH30" i="2"/>
  <c r="AG30" i="2"/>
  <c r="AE30" i="2"/>
  <c r="AD30" i="2"/>
  <c r="K30" i="2"/>
  <c r="AF30" i="2" s="1"/>
  <c r="AH96" i="2"/>
  <c r="AG96" i="2"/>
  <c r="AE96" i="2"/>
  <c r="AD96" i="2"/>
  <c r="N96" i="2"/>
  <c r="K96" i="2"/>
  <c r="AF96" i="2" s="1"/>
  <c r="N80" i="2"/>
  <c r="AH80" i="2"/>
  <c r="AG80" i="2"/>
  <c r="AE80" i="2"/>
  <c r="AD80" i="2"/>
  <c r="K80" i="2"/>
  <c r="AF80" i="2" s="1"/>
  <c r="AH48" i="2"/>
  <c r="AG48" i="2"/>
  <c r="AE48" i="2"/>
  <c r="AD48" i="2"/>
  <c r="N48" i="2"/>
  <c r="P48" i="2" s="1"/>
  <c r="Q48" i="2" s="1"/>
  <c r="K48" i="2"/>
  <c r="AF48" i="2" s="1"/>
  <c r="AH47" i="2"/>
  <c r="AG47" i="2"/>
  <c r="AE47" i="2"/>
  <c r="AD47" i="2"/>
  <c r="P47" i="2"/>
  <c r="Q47" i="2" s="1"/>
  <c r="K47" i="2"/>
  <c r="AF47" i="2" s="1"/>
  <c r="AH308" i="2"/>
  <c r="AG308" i="2"/>
  <c r="AE308" i="2"/>
  <c r="AD308" i="2"/>
  <c r="AH307" i="2"/>
  <c r="AG307" i="2"/>
  <c r="AE307" i="2"/>
  <c r="AD307" i="2"/>
  <c r="P308" i="2"/>
  <c r="Q308" i="2" s="1"/>
  <c r="P307" i="2"/>
  <c r="Q307" i="2" s="1"/>
  <c r="K308" i="2"/>
  <c r="AF308" i="2" s="1"/>
  <c r="K307" i="2"/>
  <c r="AF307" i="2" s="1"/>
  <c r="AH311" i="2"/>
  <c r="AG311" i="2"/>
  <c r="AE311" i="2"/>
  <c r="AD311" i="2"/>
  <c r="AH310" i="2"/>
  <c r="AG310" i="2"/>
  <c r="AE310" i="2"/>
  <c r="AD310" i="2"/>
  <c r="AH309" i="2"/>
  <c r="AG309" i="2"/>
  <c r="AE309" i="2"/>
  <c r="AD309" i="2"/>
  <c r="P311" i="2"/>
  <c r="Q311" i="2" s="1"/>
  <c r="P310" i="2"/>
  <c r="Q310" i="2" s="1"/>
  <c r="P309" i="2"/>
  <c r="Q309" i="2" s="1"/>
  <c r="K311" i="2"/>
  <c r="AF311" i="2" s="1"/>
  <c r="K310" i="2"/>
  <c r="AF310" i="2" s="1"/>
  <c r="K309" i="2"/>
  <c r="AF309" i="2" s="1"/>
  <c r="AH353" i="2"/>
  <c r="AG353" i="2"/>
  <c r="AE353" i="2"/>
  <c r="AD353" i="2"/>
  <c r="AC62" i="2" l="1"/>
  <c r="AB69" i="2"/>
  <c r="AP62" i="2"/>
  <c r="AP69" i="2" s="1"/>
  <c r="AR364" i="2"/>
  <c r="AC387" i="2"/>
  <c r="AR385" i="2"/>
  <c r="AR387" i="2" s="1"/>
  <c r="AC382" i="2"/>
  <c r="AR380" i="2"/>
  <c r="AR382" i="2" s="1"/>
  <c r="AN223" i="2"/>
  <c r="AJ223" i="2"/>
  <c r="AP223" i="2" s="1"/>
  <c r="AN47" i="2"/>
  <c r="AJ47" i="2"/>
  <c r="AN30" i="2"/>
  <c r="AJ30" i="2"/>
  <c r="AN225" i="2"/>
  <c r="AJ225" i="2"/>
  <c r="AJ274" i="2"/>
  <c r="AP274" i="2" s="1"/>
  <c r="AN274" i="2"/>
  <c r="AJ439" i="2"/>
  <c r="AP439" i="2" s="1"/>
  <c r="AN439" i="2"/>
  <c r="AN81" i="2"/>
  <c r="AN31" i="2"/>
  <c r="AC377" i="2"/>
  <c r="AR372" i="2"/>
  <c r="AR377" i="2" s="1"/>
  <c r="AN49" i="2"/>
  <c r="AJ49" i="2"/>
  <c r="AP49" i="2" s="1"/>
  <c r="AN80" i="2"/>
  <c r="AN224" i="2"/>
  <c r="AJ224" i="2"/>
  <c r="AJ309" i="2"/>
  <c r="AP309" i="2" s="1"/>
  <c r="AN309" i="2"/>
  <c r="AN310" i="2"/>
  <c r="AJ310" i="2"/>
  <c r="AP310" i="2" s="1"/>
  <c r="AJ311" i="2"/>
  <c r="AN311" i="2"/>
  <c r="AJ307" i="2"/>
  <c r="AN307" i="2"/>
  <c r="AJ308" i="2"/>
  <c r="AN308" i="2"/>
  <c r="AJ48" i="2"/>
  <c r="AP48" i="2" s="1"/>
  <c r="AN48" i="2"/>
  <c r="AN96" i="2"/>
  <c r="AJ354" i="2"/>
  <c r="AN354" i="2"/>
  <c r="AN438" i="2"/>
  <c r="AJ438" i="2"/>
  <c r="AN97" i="2"/>
  <c r="AJ97" i="2"/>
  <c r="AC364" i="2"/>
  <c r="X223" i="2"/>
  <c r="Y223" i="2" s="1"/>
  <c r="AA223" i="2" s="1"/>
  <c r="P31" i="2"/>
  <c r="Q31" i="2" s="1"/>
  <c r="R31" i="2" s="1"/>
  <c r="R97" i="2"/>
  <c r="V97" i="2" s="1"/>
  <c r="R49" i="2"/>
  <c r="V49" i="2" s="1"/>
  <c r="P81" i="2"/>
  <c r="Q81" i="2" s="1"/>
  <c r="R81" i="2" s="1"/>
  <c r="V81" i="2" s="1"/>
  <c r="R438" i="2"/>
  <c r="V438" i="2" s="1"/>
  <c r="R439" i="2"/>
  <c r="T439" i="2" s="1"/>
  <c r="X439" i="2"/>
  <c r="Y439" i="2" s="1"/>
  <c r="AA439" i="2" s="1"/>
  <c r="R274" i="2"/>
  <c r="V274" i="2" s="1"/>
  <c r="X438" i="2"/>
  <c r="Y438" i="2" s="1"/>
  <c r="AA438" i="2" s="1"/>
  <c r="X274" i="2"/>
  <c r="Y274" i="2" s="1"/>
  <c r="AA274" i="2" s="1"/>
  <c r="R354" i="2"/>
  <c r="T354" i="2" s="1"/>
  <c r="R224" i="2"/>
  <c r="V224" i="2" s="1"/>
  <c r="X354" i="2"/>
  <c r="Y354" i="2" s="1"/>
  <c r="AA354" i="2" s="1"/>
  <c r="R223" i="2"/>
  <c r="V223" i="2" s="1"/>
  <c r="R225" i="2"/>
  <c r="V225" i="2" s="1"/>
  <c r="X225" i="2"/>
  <c r="Y225" i="2" s="1"/>
  <c r="AA225" i="2" s="1"/>
  <c r="X224" i="2"/>
  <c r="Y224" i="2" s="1"/>
  <c r="AA224" i="2" s="1"/>
  <c r="R30" i="2"/>
  <c r="V30" i="2" s="1"/>
  <c r="P96" i="2"/>
  <c r="Q96" i="2" s="1"/>
  <c r="R96" i="2" s="1"/>
  <c r="P80" i="2"/>
  <c r="Q80" i="2" s="1"/>
  <c r="R80" i="2" s="1"/>
  <c r="V80" i="2" s="1"/>
  <c r="R48" i="2"/>
  <c r="T48" i="2" s="1"/>
  <c r="X48" i="2" s="1"/>
  <c r="Y48" i="2" s="1"/>
  <c r="AA48" i="2" s="1"/>
  <c r="R47" i="2"/>
  <c r="T47" i="2" s="1"/>
  <c r="R307" i="2"/>
  <c r="V307" i="2" s="1"/>
  <c r="R311" i="2"/>
  <c r="V311" i="2" s="1"/>
  <c r="R308" i="2"/>
  <c r="T308" i="2" s="1"/>
  <c r="X47" i="2"/>
  <c r="Y47" i="2" s="1"/>
  <c r="AA47" i="2" s="1"/>
  <c r="X311" i="2"/>
  <c r="Y311" i="2" s="1"/>
  <c r="AA311" i="2" s="1"/>
  <c r="R309" i="2"/>
  <c r="T309" i="2" s="1"/>
  <c r="R310" i="2"/>
  <c r="V310" i="2" s="1"/>
  <c r="X307" i="2"/>
  <c r="Y307" i="2" s="1"/>
  <c r="AA307" i="2" s="1"/>
  <c r="X308" i="2"/>
  <c r="Y308" i="2" s="1"/>
  <c r="AA308" i="2" s="1"/>
  <c r="X309" i="2"/>
  <c r="Y309" i="2" s="1"/>
  <c r="AA309" i="2" s="1"/>
  <c r="X310" i="2"/>
  <c r="Y310" i="2" s="1"/>
  <c r="AA310" i="2" s="1"/>
  <c r="AH335" i="2"/>
  <c r="AG335" i="2"/>
  <c r="AE335" i="2"/>
  <c r="AD335" i="2"/>
  <c r="P335" i="2"/>
  <c r="Q335" i="2" s="1"/>
  <c r="K335" i="2"/>
  <c r="AF335" i="2" s="1"/>
  <c r="AH352" i="2"/>
  <c r="AG352" i="2"/>
  <c r="AE352" i="2"/>
  <c r="AD352" i="2"/>
  <c r="AN62" i="2" l="1"/>
  <c r="AN69" i="2" s="1"/>
  <c r="AC69" i="2"/>
  <c r="AJ80" i="2"/>
  <c r="AL80" i="2" s="1"/>
  <c r="AL438" i="2"/>
  <c r="AJ81" i="2"/>
  <c r="AP81" i="2" s="1"/>
  <c r="AJ96" i="2"/>
  <c r="AL96" i="2" s="1"/>
  <c r="AJ31" i="2"/>
  <c r="AL31" i="2" s="1"/>
  <c r="AP354" i="2"/>
  <c r="AL354" i="2"/>
  <c r="AL308" i="2"/>
  <c r="AP311" i="2"/>
  <c r="AL311" i="2"/>
  <c r="AL224" i="2"/>
  <c r="AP225" i="2"/>
  <c r="AL225" i="2"/>
  <c r="AP47" i="2"/>
  <c r="AL47" i="2"/>
  <c r="AL48" i="2"/>
  <c r="AN335" i="2"/>
  <c r="AJ335" i="2"/>
  <c r="AP335" i="2" s="1"/>
  <c r="AP97" i="2"/>
  <c r="AL97" i="2"/>
  <c r="AP308" i="2"/>
  <c r="AP307" i="2"/>
  <c r="AL307" i="2"/>
  <c r="AL310" i="2"/>
  <c r="AL309" i="2"/>
  <c r="AL49" i="2"/>
  <c r="AP30" i="2"/>
  <c r="AL30" i="2"/>
  <c r="AL223" i="2"/>
  <c r="AP224" i="2"/>
  <c r="AL439" i="2"/>
  <c r="AL274" i="2"/>
  <c r="AB223" i="2"/>
  <c r="AC223" i="2" s="1"/>
  <c r="AR223" i="2" s="1"/>
  <c r="T224" i="2"/>
  <c r="T97" i="2"/>
  <c r="X97" i="2" s="1"/>
  <c r="Y97" i="2" s="1"/>
  <c r="AA97" i="2" s="1"/>
  <c r="AB97" i="2" s="1"/>
  <c r="AC97" i="2" s="1"/>
  <c r="T274" i="2"/>
  <c r="AB224" i="2"/>
  <c r="AC224" i="2" s="1"/>
  <c r="T81" i="2"/>
  <c r="X81" i="2" s="1"/>
  <c r="Y81" i="2" s="1"/>
  <c r="AA81" i="2" s="1"/>
  <c r="AB81" i="2" s="1"/>
  <c r="AC81" i="2" s="1"/>
  <c r="T49" i="2"/>
  <c r="X49" i="2" s="1"/>
  <c r="Y49" i="2" s="1"/>
  <c r="AA49" i="2" s="1"/>
  <c r="AB49" i="2" s="1"/>
  <c r="AC49" i="2" s="1"/>
  <c r="AR49" i="2" s="1"/>
  <c r="AB274" i="2"/>
  <c r="AC274" i="2" s="1"/>
  <c r="AR274" i="2" s="1"/>
  <c r="V439" i="2"/>
  <c r="AB439" i="2" s="1"/>
  <c r="AC439" i="2" s="1"/>
  <c r="AR439" i="2" s="1"/>
  <c r="V31" i="2"/>
  <c r="T31" i="2"/>
  <c r="X31" i="2" s="1"/>
  <c r="Y31" i="2" s="1"/>
  <c r="AA31" i="2" s="1"/>
  <c r="T438" i="2"/>
  <c r="V47" i="2"/>
  <c r="AB47" i="2" s="1"/>
  <c r="AC47" i="2" s="1"/>
  <c r="AB438" i="2"/>
  <c r="AC438" i="2" s="1"/>
  <c r="T223" i="2"/>
  <c r="V354" i="2"/>
  <c r="AB354" i="2" s="1"/>
  <c r="AC354" i="2" s="1"/>
  <c r="T225" i="2"/>
  <c r="T307" i="2"/>
  <c r="T30" i="2"/>
  <c r="X30" i="2" s="1"/>
  <c r="Y30" i="2" s="1"/>
  <c r="AA30" i="2" s="1"/>
  <c r="AB30" i="2" s="1"/>
  <c r="AC30" i="2" s="1"/>
  <c r="T310" i="2"/>
  <c r="T80" i="2"/>
  <c r="X80" i="2" s="1"/>
  <c r="Y80" i="2" s="1"/>
  <c r="AA80" i="2" s="1"/>
  <c r="AB80" i="2" s="1"/>
  <c r="AC80" i="2" s="1"/>
  <c r="AB225" i="2"/>
  <c r="AC225" i="2" s="1"/>
  <c r="T311" i="2"/>
  <c r="R335" i="2"/>
  <c r="V335" i="2" s="1"/>
  <c r="T96" i="2"/>
  <c r="X96" i="2" s="1"/>
  <c r="Y96" i="2" s="1"/>
  <c r="AA96" i="2" s="1"/>
  <c r="V96" i="2"/>
  <c r="V48" i="2"/>
  <c r="AB48" i="2" s="1"/>
  <c r="AC48" i="2" s="1"/>
  <c r="AR48" i="2" s="1"/>
  <c r="AB311" i="2"/>
  <c r="AC311" i="2" s="1"/>
  <c r="V308" i="2"/>
  <c r="AB308" i="2" s="1"/>
  <c r="AC308" i="2" s="1"/>
  <c r="V309" i="2"/>
  <c r="AB309" i="2" s="1"/>
  <c r="AC309" i="2" s="1"/>
  <c r="AR309" i="2" s="1"/>
  <c r="AB310" i="2"/>
  <c r="AC310" i="2" s="1"/>
  <c r="AR310" i="2" s="1"/>
  <c r="AB307" i="2"/>
  <c r="AC307" i="2" s="1"/>
  <c r="X335" i="2"/>
  <c r="Y335" i="2" s="1"/>
  <c r="AA335" i="2" s="1"/>
  <c r="AR62" i="2" l="1"/>
  <c r="AR69" i="2" s="1"/>
  <c r="AP31" i="2"/>
  <c r="AP80" i="2"/>
  <c r="AR80" i="2" s="1"/>
  <c r="AR224" i="2"/>
  <c r="AR30" i="2"/>
  <c r="AR354" i="2"/>
  <c r="AL81" i="2"/>
  <c r="AP96" i="2"/>
  <c r="AR81" i="2"/>
  <c r="AR308" i="2"/>
  <c r="AR97" i="2"/>
  <c r="AR225" i="2"/>
  <c r="AL335" i="2"/>
  <c r="AR47" i="2"/>
  <c r="AR311" i="2"/>
  <c r="AP438" i="2"/>
  <c r="AR438" i="2" s="1"/>
  <c r="AR307" i="2"/>
  <c r="AB96" i="2"/>
  <c r="AC96" i="2" s="1"/>
  <c r="AB31" i="2"/>
  <c r="AC31" i="2" s="1"/>
  <c r="AR31" i="2" s="1"/>
  <c r="T335" i="2"/>
  <c r="AB335" i="2"/>
  <c r="AC335" i="2" s="1"/>
  <c r="AR335" i="2" s="1"/>
  <c r="N353" i="2"/>
  <c r="P353" i="2" s="1"/>
  <c r="Q353" i="2" s="1"/>
  <c r="K353" i="2"/>
  <c r="AF353" i="2" s="1"/>
  <c r="P352" i="2"/>
  <c r="Q352" i="2" s="1"/>
  <c r="K352" i="2"/>
  <c r="AF352" i="2" s="1"/>
  <c r="AH350" i="2"/>
  <c r="AG350" i="2"/>
  <c r="AE350" i="2"/>
  <c r="AD350" i="2"/>
  <c r="P350" i="2"/>
  <c r="Q350" i="2" s="1"/>
  <c r="K350" i="2"/>
  <c r="AF350" i="2" s="1"/>
  <c r="AH29" i="2"/>
  <c r="AG29" i="2"/>
  <c r="AE29" i="2"/>
  <c r="AD29" i="2"/>
  <c r="N29" i="2"/>
  <c r="P29" i="2" s="1"/>
  <c r="Q29" i="2" s="1"/>
  <c r="K29" i="2"/>
  <c r="AF29" i="2" s="1"/>
  <c r="AH28" i="2"/>
  <c r="AG28" i="2"/>
  <c r="AE28" i="2"/>
  <c r="AD28" i="2"/>
  <c r="N28" i="2"/>
  <c r="P28" i="2" s="1"/>
  <c r="Q28" i="2" s="1"/>
  <c r="K28" i="2"/>
  <c r="AF28" i="2" s="1"/>
  <c r="AH437" i="2"/>
  <c r="AG437" i="2"/>
  <c r="AE437" i="2"/>
  <c r="AD437" i="2"/>
  <c r="P437" i="2"/>
  <c r="Q437" i="2" s="1"/>
  <c r="K437" i="2"/>
  <c r="AF437" i="2" s="1"/>
  <c r="AH222" i="2"/>
  <c r="AG222" i="2"/>
  <c r="AE222" i="2"/>
  <c r="AD222" i="2"/>
  <c r="AH221" i="2"/>
  <c r="AG221" i="2"/>
  <c r="AE221" i="2"/>
  <c r="AD221" i="2"/>
  <c r="P222" i="2"/>
  <c r="Q222" i="2" s="1"/>
  <c r="K222" i="2"/>
  <c r="AF222" i="2" s="1"/>
  <c r="P221" i="2"/>
  <c r="Q221" i="2" s="1"/>
  <c r="K221" i="2"/>
  <c r="AF221" i="2" s="1"/>
  <c r="AH306" i="2"/>
  <c r="AG306" i="2"/>
  <c r="AE306" i="2"/>
  <c r="AD306" i="2"/>
  <c r="P306" i="2"/>
  <c r="Q306" i="2" s="1"/>
  <c r="AH305" i="2"/>
  <c r="AG305" i="2"/>
  <c r="AE305" i="2"/>
  <c r="AD305" i="2"/>
  <c r="P305" i="2"/>
  <c r="Q305" i="2" s="1"/>
  <c r="AH304" i="2"/>
  <c r="AG304" i="2"/>
  <c r="AE304" i="2"/>
  <c r="AD304" i="2"/>
  <c r="P304" i="2"/>
  <c r="Q304" i="2" s="1"/>
  <c r="AH303" i="2"/>
  <c r="AG303" i="2"/>
  <c r="AE303" i="2"/>
  <c r="AD303" i="2"/>
  <c r="K306" i="2"/>
  <c r="AF306" i="2" s="1"/>
  <c r="K305" i="2"/>
  <c r="AF305" i="2" s="1"/>
  <c r="K304" i="2"/>
  <c r="AF304" i="2" s="1"/>
  <c r="N303" i="2"/>
  <c r="P303" i="2" s="1"/>
  <c r="Q303" i="2" s="1"/>
  <c r="K303" i="2"/>
  <c r="AF303" i="2" s="1"/>
  <c r="C303" i="2"/>
  <c r="AH474" i="2"/>
  <c r="AG474" i="2"/>
  <c r="AE474" i="2"/>
  <c r="AD474" i="2"/>
  <c r="P474" i="2"/>
  <c r="Q474" i="2" s="1"/>
  <c r="K474" i="2"/>
  <c r="AF474" i="2" s="1"/>
  <c r="AH436" i="2"/>
  <c r="AG436" i="2"/>
  <c r="AE436" i="2"/>
  <c r="AD436" i="2"/>
  <c r="P436" i="2"/>
  <c r="Q436" i="2" s="1"/>
  <c r="K436" i="2"/>
  <c r="AF436" i="2" s="1"/>
  <c r="AH302" i="2"/>
  <c r="AG302" i="2"/>
  <c r="AE302" i="2"/>
  <c r="AD302" i="2"/>
  <c r="P302" i="2"/>
  <c r="Q302" i="2" s="1"/>
  <c r="K302" i="2"/>
  <c r="AF302" i="2" s="1"/>
  <c r="AH334" i="2"/>
  <c r="AG334" i="2"/>
  <c r="AE334" i="2"/>
  <c r="AD334" i="2"/>
  <c r="P334" i="2"/>
  <c r="Q334" i="2" s="1"/>
  <c r="K334" i="2"/>
  <c r="AF334" i="2" s="1"/>
  <c r="AH435" i="2"/>
  <c r="AG435" i="2"/>
  <c r="AE435" i="2"/>
  <c r="AD435" i="2"/>
  <c r="P435" i="2"/>
  <c r="Q435" i="2" s="1"/>
  <c r="K435" i="2"/>
  <c r="AF435" i="2" s="1"/>
  <c r="AR96" i="2" l="1"/>
  <c r="AJ353" i="2"/>
  <c r="AP353" i="2" s="1"/>
  <c r="AN353" i="2"/>
  <c r="AN352" i="2"/>
  <c r="AJ352" i="2"/>
  <c r="AP352" i="2" s="1"/>
  <c r="AN306" i="2"/>
  <c r="AJ306" i="2"/>
  <c r="AP306" i="2" s="1"/>
  <c r="AJ28" i="2"/>
  <c r="AN28" i="2"/>
  <c r="AJ334" i="2"/>
  <c r="AN334" i="2"/>
  <c r="AN436" i="2"/>
  <c r="AJ436" i="2"/>
  <c r="AN222" i="2"/>
  <c r="AJ222" i="2"/>
  <c r="AJ303" i="2"/>
  <c r="AN303" i="2"/>
  <c r="AN350" i="2"/>
  <c r="AJ350" i="2"/>
  <c r="AN221" i="2"/>
  <c r="AJ221" i="2"/>
  <c r="AN435" i="2"/>
  <c r="AJ435" i="2"/>
  <c r="AP435" i="2" s="1"/>
  <c r="AN302" i="2"/>
  <c r="AJ302" i="2"/>
  <c r="AN474" i="2"/>
  <c r="AJ474" i="2"/>
  <c r="AJ304" i="2"/>
  <c r="AP304" i="2" s="1"/>
  <c r="AN304" i="2"/>
  <c r="AJ437" i="2"/>
  <c r="AN437" i="2"/>
  <c r="AN29" i="2"/>
  <c r="AJ29" i="2"/>
  <c r="AJ305" i="2"/>
  <c r="AP305" i="2" s="1"/>
  <c r="AN305" i="2"/>
  <c r="R353" i="2"/>
  <c r="X353" i="2"/>
  <c r="Y353" i="2" s="1"/>
  <c r="AA353" i="2" s="1"/>
  <c r="R352" i="2"/>
  <c r="X352" i="2"/>
  <c r="Y352" i="2" s="1"/>
  <c r="AA352" i="2" s="1"/>
  <c r="R350" i="2"/>
  <c r="T350" i="2" s="1"/>
  <c r="R334" i="2"/>
  <c r="R221" i="2"/>
  <c r="T221" i="2" s="1"/>
  <c r="R29" i="2"/>
  <c r="T29" i="2" s="1"/>
  <c r="R306" i="2"/>
  <c r="T306" i="2" s="1"/>
  <c r="X350" i="2"/>
  <c r="Y350" i="2" s="1"/>
  <c r="AA350" i="2" s="1"/>
  <c r="X305" i="2"/>
  <c r="Y305" i="2" s="1"/>
  <c r="AA305" i="2" s="1"/>
  <c r="R222" i="2"/>
  <c r="T222" i="2" s="1"/>
  <c r="X437" i="2"/>
  <c r="Y437" i="2" s="1"/>
  <c r="AA437" i="2" s="1"/>
  <c r="X29" i="2"/>
  <c r="Y29" i="2" s="1"/>
  <c r="AA29" i="2" s="1"/>
  <c r="R303" i="2"/>
  <c r="V303" i="2" s="1"/>
  <c r="R437" i="2"/>
  <c r="T437" i="2" s="1"/>
  <c r="R28" i="2"/>
  <c r="V28" i="2" s="1"/>
  <c r="X28" i="2"/>
  <c r="Y28" i="2" s="1"/>
  <c r="AA28" i="2" s="1"/>
  <c r="R302" i="2"/>
  <c r="T302" i="2" s="1"/>
  <c r="X222" i="2"/>
  <c r="Y222" i="2" s="1"/>
  <c r="AA222" i="2" s="1"/>
  <c r="X221" i="2"/>
  <c r="Y221" i="2" s="1"/>
  <c r="AA221" i="2" s="1"/>
  <c r="R305" i="2"/>
  <c r="V305" i="2" s="1"/>
  <c r="R304" i="2"/>
  <c r="X306" i="2"/>
  <c r="Y306" i="2" s="1"/>
  <c r="AA306" i="2" s="1"/>
  <c r="X303" i="2"/>
  <c r="Y303" i="2" s="1"/>
  <c r="AA303" i="2" s="1"/>
  <c r="X304" i="2"/>
  <c r="Y304" i="2" s="1"/>
  <c r="AA304" i="2" s="1"/>
  <c r="X302" i="2"/>
  <c r="Y302" i="2" s="1"/>
  <c r="AA302" i="2" s="1"/>
  <c r="R435" i="2"/>
  <c r="T435" i="2" s="1"/>
  <c r="R436" i="2"/>
  <c r="T436" i="2" s="1"/>
  <c r="R474" i="2"/>
  <c r="T474" i="2" s="1"/>
  <c r="X474" i="2"/>
  <c r="Y474" i="2" s="1"/>
  <c r="AA474" i="2" s="1"/>
  <c r="X436" i="2"/>
  <c r="Y436" i="2" s="1"/>
  <c r="AA436" i="2" s="1"/>
  <c r="X334" i="2"/>
  <c r="Y334" i="2" s="1"/>
  <c r="AA334" i="2" s="1"/>
  <c r="X435" i="2"/>
  <c r="Y435" i="2" s="1"/>
  <c r="AA435" i="2" s="1"/>
  <c r="AL352" i="2" l="1"/>
  <c r="V353" i="2"/>
  <c r="AB353" i="2" s="1"/>
  <c r="AC353" i="2" s="1"/>
  <c r="AR353" i="2" s="1"/>
  <c r="AL353" i="2"/>
  <c r="AL29" i="2"/>
  <c r="AP437" i="2"/>
  <c r="AL437" i="2"/>
  <c r="AL474" i="2"/>
  <c r="AL302" i="2"/>
  <c r="AL222" i="2"/>
  <c r="AL28" i="2"/>
  <c r="AP221" i="2"/>
  <c r="AL221" i="2"/>
  <c r="AP334" i="2"/>
  <c r="AL334" i="2"/>
  <c r="AP474" i="2"/>
  <c r="AL435" i="2"/>
  <c r="AP303" i="2"/>
  <c r="AL303" i="2"/>
  <c r="AP436" i="2"/>
  <c r="AL436" i="2"/>
  <c r="AL306" i="2"/>
  <c r="AL305" i="2"/>
  <c r="AL304" i="2"/>
  <c r="AP302" i="2"/>
  <c r="AP350" i="2"/>
  <c r="AL350" i="2"/>
  <c r="AP222" i="2"/>
  <c r="T353" i="2"/>
  <c r="T352" i="2"/>
  <c r="V352" i="2"/>
  <c r="AB352" i="2" s="1"/>
  <c r="AC352" i="2" s="1"/>
  <c r="AR352" i="2" s="1"/>
  <c r="AB305" i="2"/>
  <c r="AC305" i="2" s="1"/>
  <c r="AR305" i="2" s="1"/>
  <c r="V29" i="2"/>
  <c r="AB29" i="2" s="1"/>
  <c r="AC29" i="2" s="1"/>
  <c r="V350" i="2"/>
  <c r="AB350" i="2" s="1"/>
  <c r="AC350" i="2" s="1"/>
  <c r="AR350" i="2" s="1"/>
  <c r="V221" i="2"/>
  <c r="AB221" i="2" s="1"/>
  <c r="AC221" i="2" s="1"/>
  <c r="T334" i="2"/>
  <c r="V334" i="2"/>
  <c r="AB334" i="2" s="1"/>
  <c r="AC334" i="2" s="1"/>
  <c r="V306" i="2"/>
  <c r="AB306" i="2" s="1"/>
  <c r="AC306" i="2" s="1"/>
  <c r="AR306" i="2" s="1"/>
  <c r="T303" i="2"/>
  <c r="V437" i="2"/>
  <c r="AB437" i="2" s="1"/>
  <c r="AC437" i="2" s="1"/>
  <c r="V222" i="2"/>
  <c r="AB222" i="2" s="1"/>
  <c r="AC222" i="2" s="1"/>
  <c r="T28" i="2"/>
  <c r="AB28" i="2"/>
  <c r="AC28" i="2" s="1"/>
  <c r="V435" i="2"/>
  <c r="AB435" i="2" s="1"/>
  <c r="AC435" i="2" s="1"/>
  <c r="AR435" i="2" s="1"/>
  <c r="V302" i="2"/>
  <c r="AB302" i="2" s="1"/>
  <c r="AC302" i="2" s="1"/>
  <c r="T305" i="2"/>
  <c r="AB303" i="2"/>
  <c r="AC303" i="2" s="1"/>
  <c r="AR303" i="2" s="1"/>
  <c r="V304" i="2"/>
  <c r="AB304" i="2" s="1"/>
  <c r="AC304" i="2" s="1"/>
  <c r="AR304" i="2" s="1"/>
  <c r="T304" i="2"/>
  <c r="V474" i="2"/>
  <c r="AB474" i="2" s="1"/>
  <c r="AC474" i="2" s="1"/>
  <c r="V436" i="2"/>
  <c r="AB436" i="2" s="1"/>
  <c r="AC436" i="2" s="1"/>
  <c r="AR302" i="2" l="1"/>
  <c r="AR222" i="2"/>
  <c r="AP29" i="2"/>
  <c r="AR29" i="2" s="1"/>
  <c r="AR474" i="2"/>
  <c r="AR221" i="2"/>
  <c r="AR436" i="2"/>
  <c r="AP28" i="2"/>
  <c r="AR28" i="2" s="1"/>
  <c r="AR334" i="2"/>
  <c r="AR437" i="2"/>
  <c r="AH273" i="2"/>
  <c r="AG273" i="2"/>
  <c r="AE273" i="2"/>
  <c r="AD273" i="2"/>
  <c r="P273" i="2"/>
  <c r="Q273" i="2" s="1"/>
  <c r="K273" i="2"/>
  <c r="AF273" i="2" s="1"/>
  <c r="AH500" i="2"/>
  <c r="AG500" i="2"/>
  <c r="AE500" i="2"/>
  <c r="AD500" i="2"/>
  <c r="P500" i="2"/>
  <c r="Q500" i="2" s="1"/>
  <c r="K500" i="2"/>
  <c r="AF500" i="2" s="1"/>
  <c r="AH27" i="2"/>
  <c r="AG27" i="2"/>
  <c r="AE27" i="2"/>
  <c r="AD27" i="2"/>
  <c r="P27" i="2"/>
  <c r="Q27" i="2" s="1"/>
  <c r="K27" i="2"/>
  <c r="AF27" i="2" s="1"/>
  <c r="AJ27" i="2" l="1"/>
  <c r="AN27" i="2"/>
  <c r="AJ273" i="2"/>
  <c r="AN273" i="2"/>
  <c r="AN500" i="2"/>
  <c r="AJ500" i="2"/>
  <c r="AP500" i="2" s="1"/>
  <c r="X273" i="2"/>
  <c r="Y273" i="2" s="1"/>
  <c r="AA273" i="2" s="1"/>
  <c r="R500" i="2"/>
  <c r="T500" i="2" s="1"/>
  <c r="R273" i="2"/>
  <c r="T273" i="2" s="1"/>
  <c r="R27" i="2"/>
  <c r="T27" i="2" s="1"/>
  <c r="X500" i="2"/>
  <c r="Y500" i="2" s="1"/>
  <c r="AA500" i="2" s="1"/>
  <c r="X27" i="2"/>
  <c r="Y27" i="2" s="1"/>
  <c r="AA27" i="2" s="1"/>
  <c r="AP273" i="2" l="1"/>
  <c r="AL273" i="2"/>
  <c r="AL500" i="2"/>
  <c r="AL27" i="2"/>
  <c r="V500" i="2"/>
  <c r="AB500" i="2" s="1"/>
  <c r="AC500" i="2" s="1"/>
  <c r="AR500" i="2" s="1"/>
  <c r="V273" i="2"/>
  <c r="AB273" i="2" s="1"/>
  <c r="AC273" i="2" s="1"/>
  <c r="V27" i="2"/>
  <c r="AB27" i="2" s="1"/>
  <c r="AC27" i="2" s="1"/>
  <c r="AP27" i="2" l="1"/>
  <c r="AR27" i="2" s="1"/>
  <c r="AR273" i="2"/>
  <c r="D3" i="2"/>
  <c r="AH473" i="2"/>
  <c r="AG473" i="2"/>
  <c r="AE473" i="2"/>
  <c r="AD473" i="2"/>
  <c r="P473" i="2"/>
  <c r="Q473" i="2" s="1"/>
  <c r="K473" i="2"/>
  <c r="AF473" i="2" s="1"/>
  <c r="AH220" i="2"/>
  <c r="AG220" i="2"/>
  <c r="AE220" i="2"/>
  <c r="AD220" i="2"/>
  <c r="AH219" i="2"/>
  <c r="AG219" i="2"/>
  <c r="AE219" i="2"/>
  <c r="AD219" i="2"/>
  <c r="AH218" i="2"/>
  <c r="AG218" i="2"/>
  <c r="AE218" i="2"/>
  <c r="AD218" i="2"/>
  <c r="P220" i="2"/>
  <c r="Q220" i="2" s="1"/>
  <c r="P219" i="2"/>
  <c r="Q219" i="2" s="1"/>
  <c r="P218" i="2"/>
  <c r="Q218" i="2" s="1"/>
  <c r="K219" i="2"/>
  <c r="AF219" i="2" s="1"/>
  <c r="K220" i="2"/>
  <c r="AF220" i="2" s="1"/>
  <c r="K218" i="2"/>
  <c r="AF218" i="2" s="1"/>
  <c r="AH301" i="2"/>
  <c r="AG301" i="2"/>
  <c r="AE301" i="2"/>
  <c r="AD301" i="2"/>
  <c r="AH300" i="2"/>
  <c r="AG300" i="2"/>
  <c r="AE300" i="2"/>
  <c r="AD300" i="2"/>
  <c r="P301" i="2"/>
  <c r="Q301" i="2" s="1"/>
  <c r="P300" i="2"/>
  <c r="Q300" i="2" s="1"/>
  <c r="K301" i="2"/>
  <c r="AF301" i="2" s="1"/>
  <c r="K300" i="2"/>
  <c r="AF300" i="2" s="1"/>
  <c r="AH333" i="2"/>
  <c r="AG333" i="2"/>
  <c r="AE333" i="2"/>
  <c r="AD333" i="2"/>
  <c r="P333" i="2"/>
  <c r="Q333" i="2" s="1"/>
  <c r="K333" i="2"/>
  <c r="AF333" i="2" s="1"/>
  <c r="AH332" i="2"/>
  <c r="AG332" i="2"/>
  <c r="AE332" i="2"/>
  <c r="AD332" i="2"/>
  <c r="P332" i="2"/>
  <c r="Q332" i="2" s="1"/>
  <c r="K332" i="2"/>
  <c r="AF332" i="2" s="1"/>
  <c r="N498" i="2"/>
  <c r="P498" i="2" s="1"/>
  <c r="Q498" i="2" s="1"/>
  <c r="X10" i="2"/>
  <c r="AH272" i="2"/>
  <c r="AG272" i="2"/>
  <c r="AE272" i="2"/>
  <c r="AD272" i="2"/>
  <c r="P272" i="2"/>
  <c r="Q272" i="2" s="1"/>
  <c r="K272" i="2"/>
  <c r="AF272" i="2" s="1"/>
  <c r="AH331" i="2"/>
  <c r="AG331" i="2"/>
  <c r="AE331" i="2"/>
  <c r="AD331" i="2"/>
  <c r="P331" i="2"/>
  <c r="Q331" i="2" s="1"/>
  <c r="K331" i="2"/>
  <c r="AF331" i="2" s="1"/>
  <c r="AH299" i="2"/>
  <c r="AG299" i="2"/>
  <c r="AE299" i="2"/>
  <c r="AD299" i="2"/>
  <c r="AH298" i="2"/>
  <c r="AG298" i="2"/>
  <c r="AE298" i="2"/>
  <c r="AD298" i="2"/>
  <c r="P299" i="2"/>
  <c r="Q299" i="2" s="1"/>
  <c r="P298" i="2"/>
  <c r="Q298" i="2" s="1"/>
  <c r="K299" i="2"/>
  <c r="AF299" i="2" s="1"/>
  <c r="K298" i="2"/>
  <c r="AF298" i="2" s="1"/>
  <c r="N26" i="2"/>
  <c r="P26" i="2" s="1"/>
  <c r="Q26" i="2" s="1"/>
  <c r="Z502" i="2"/>
  <c r="U502" i="2"/>
  <c r="AH499" i="2"/>
  <c r="AG499" i="2"/>
  <c r="AE499" i="2"/>
  <c r="AD499" i="2"/>
  <c r="P499" i="2"/>
  <c r="Q499" i="2" s="1"/>
  <c r="K499" i="2"/>
  <c r="AF499" i="2" s="1"/>
  <c r="AH498" i="2"/>
  <c r="AG498" i="2"/>
  <c r="AE498" i="2"/>
  <c r="AD498" i="2"/>
  <c r="K498" i="2"/>
  <c r="AF498" i="2" s="1"/>
  <c r="AH26" i="2"/>
  <c r="AG26" i="2"/>
  <c r="AE26" i="2"/>
  <c r="AD26" i="2"/>
  <c r="K26" i="2"/>
  <c r="AF26" i="2" s="1"/>
  <c r="AH424" i="2"/>
  <c r="AG424" i="2"/>
  <c r="AE424" i="2"/>
  <c r="AD424" i="2"/>
  <c r="P424" i="2"/>
  <c r="K424" i="2"/>
  <c r="AF424" i="2" s="1"/>
  <c r="AH217" i="2"/>
  <c r="AG217" i="2"/>
  <c r="AE217" i="2"/>
  <c r="AD217" i="2"/>
  <c r="P217" i="2"/>
  <c r="Q217" i="2" s="1"/>
  <c r="K217" i="2"/>
  <c r="AF217" i="2" s="1"/>
  <c r="AH271" i="2"/>
  <c r="AG271" i="2"/>
  <c r="AE271" i="2"/>
  <c r="AD271" i="2"/>
  <c r="P271" i="2"/>
  <c r="Q271" i="2" s="1"/>
  <c r="K271" i="2"/>
  <c r="AF271" i="2" s="1"/>
  <c r="AH297" i="2"/>
  <c r="AG297" i="2"/>
  <c r="AE297" i="2"/>
  <c r="AD297" i="2"/>
  <c r="P297" i="2"/>
  <c r="Q297" i="2" s="1"/>
  <c r="K297" i="2"/>
  <c r="AF297" i="2" s="1"/>
  <c r="Q424" i="2" l="1"/>
  <c r="M449" i="4"/>
  <c r="T449" i="4" s="1"/>
  <c r="AN217" i="2"/>
  <c r="AJ217" i="2"/>
  <c r="AJ297" i="2"/>
  <c r="AP297" i="2" s="1"/>
  <c r="AN297" i="2"/>
  <c r="AN272" i="2"/>
  <c r="AJ272" i="2"/>
  <c r="AN271" i="2"/>
  <c r="AJ271" i="2"/>
  <c r="AP271" i="2" s="1"/>
  <c r="AJ331" i="2"/>
  <c r="AP331" i="2" s="1"/>
  <c r="AN331" i="2"/>
  <c r="AN332" i="2"/>
  <c r="AJ332" i="2"/>
  <c r="AP332" i="2" s="1"/>
  <c r="AN218" i="2"/>
  <c r="AJ218" i="2"/>
  <c r="AN219" i="2"/>
  <c r="AJ219" i="2"/>
  <c r="AP219" i="2" s="1"/>
  <c r="AN220" i="2"/>
  <c r="AJ220" i="2"/>
  <c r="AP220" i="2" s="1"/>
  <c r="AN26" i="2"/>
  <c r="AJ26" i="2"/>
  <c r="AN498" i="2"/>
  <c r="AJ498" i="2"/>
  <c r="AN298" i="2"/>
  <c r="AJ298" i="2"/>
  <c r="AP298" i="2" s="1"/>
  <c r="AN333" i="2"/>
  <c r="AJ333" i="2"/>
  <c r="AP333" i="2" s="1"/>
  <c r="AJ300" i="2"/>
  <c r="AP300" i="2" s="1"/>
  <c r="AN300" i="2"/>
  <c r="AJ301" i="2"/>
  <c r="AP301" i="2" s="1"/>
  <c r="AN301" i="2"/>
  <c r="AJ473" i="2"/>
  <c r="AN473" i="2"/>
  <c r="AJ299" i="2"/>
  <c r="AN299" i="2"/>
  <c r="AJ424" i="2"/>
  <c r="AP424" i="2"/>
  <c r="AJ499" i="2"/>
  <c r="AP499" i="2" s="1"/>
  <c r="AN499" i="2"/>
  <c r="R332" i="2"/>
  <c r="R333" i="2"/>
  <c r="R301" i="2"/>
  <c r="R300" i="2"/>
  <c r="X333" i="2"/>
  <c r="Y333" i="2" s="1"/>
  <c r="AA333" i="2" s="1"/>
  <c r="X301" i="2"/>
  <c r="Y301" i="2" s="1"/>
  <c r="AA301" i="2" s="1"/>
  <c r="X220" i="2"/>
  <c r="Y220" i="2" s="1"/>
  <c r="AA220" i="2" s="1"/>
  <c r="X473" i="2"/>
  <c r="Y473" i="2" s="1"/>
  <c r="AA473" i="2" s="1"/>
  <c r="X332" i="2"/>
  <c r="Y332" i="2" s="1"/>
  <c r="AA332" i="2" s="1"/>
  <c r="R220" i="2"/>
  <c r="T220" i="2" s="1"/>
  <c r="R473" i="2"/>
  <c r="T473" i="2" s="1"/>
  <c r="R219" i="2"/>
  <c r="T219" i="2" s="1"/>
  <c r="R218" i="2"/>
  <c r="T218" i="2" s="1"/>
  <c r="R331" i="2"/>
  <c r="T331" i="2" s="1"/>
  <c r="X272" i="2"/>
  <c r="Y272" i="2" s="1"/>
  <c r="AA272" i="2" s="1"/>
  <c r="X219" i="2"/>
  <c r="Y219" i="2" s="1"/>
  <c r="AA219" i="2" s="1"/>
  <c r="X218" i="2"/>
  <c r="Y218" i="2" s="1"/>
  <c r="AA218" i="2" s="1"/>
  <c r="X300" i="2"/>
  <c r="Y300" i="2" s="1"/>
  <c r="AA300" i="2" s="1"/>
  <c r="X331" i="2"/>
  <c r="Y331" i="2" s="1"/>
  <c r="AA331" i="2" s="1"/>
  <c r="R272" i="2"/>
  <c r="T272" i="2" s="1"/>
  <c r="X26" i="2"/>
  <c r="Y26" i="2" s="1"/>
  <c r="AA26" i="2" s="1"/>
  <c r="R299" i="2"/>
  <c r="T299" i="2" s="1"/>
  <c r="X298" i="2"/>
  <c r="Y298" i="2" s="1"/>
  <c r="AA298" i="2" s="1"/>
  <c r="R298" i="2"/>
  <c r="X299" i="2"/>
  <c r="Y299" i="2" s="1"/>
  <c r="AA299" i="2" s="1"/>
  <c r="R498" i="2"/>
  <c r="T498" i="2" s="1"/>
  <c r="R499" i="2"/>
  <c r="T499" i="2" s="1"/>
  <c r="X498" i="2"/>
  <c r="Y498" i="2" s="1"/>
  <c r="AA498" i="2" s="1"/>
  <c r="X499" i="2"/>
  <c r="Y499" i="2" s="1"/>
  <c r="AA499" i="2" s="1"/>
  <c r="X271" i="2"/>
  <c r="Y271" i="2" s="1"/>
  <c r="AA271" i="2" s="1"/>
  <c r="R26" i="2"/>
  <c r="R271" i="2"/>
  <c r="T271" i="2" s="1"/>
  <c r="X297" i="2"/>
  <c r="Y297" i="2" s="1"/>
  <c r="AA297" i="2" s="1"/>
  <c r="R217" i="2"/>
  <c r="T217" i="2" s="1"/>
  <c r="X217" i="2"/>
  <c r="Y217" i="2" s="1"/>
  <c r="AA217" i="2" s="1"/>
  <c r="R424" i="2"/>
  <c r="R297" i="2"/>
  <c r="T297" i="2" s="1"/>
  <c r="S449" i="4" l="1"/>
  <c r="M450" i="4"/>
  <c r="N449" i="4"/>
  <c r="O449" i="4" s="1"/>
  <c r="P449" i="4" s="1"/>
  <c r="AP217" i="2"/>
  <c r="AL217" i="2"/>
  <c r="AL424" i="2"/>
  <c r="AP473" i="2"/>
  <c r="AL473" i="2"/>
  <c r="AL218" i="2"/>
  <c r="AL499" i="2"/>
  <c r="AP498" i="2"/>
  <c r="AL498" i="2"/>
  <c r="AL219" i="2"/>
  <c r="AL271" i="2"/>
  <c r="AP299" i="2"/>
  <c r="AL299" i="2"/>
  <c r="AL300" i="2"/>
  <c r="AL220" i="2"/>
  <c r="AL301" i="2"/>
  <c r="AL333" i="2"/>
  <c r="AL298" i="2"/>
  <c r="AL26" i="2"/>
  <c r="AP218" i="2"/>
  <c r="AL332" i="2"/>
  <c r="AL331" i="2"/>
  <c r="AP272" i="2"/>
  <c r="AL272" i="2"/>
  <c r="AL297" i="2"/>
  <c r="V333" i="2"/>
  <c r="AB333" i="2" s="1"/>
  <c r="AC333" i="2" s="1"/>
  <c r="AR333" i="2" s="1"/>
  <c r="T333" i="2"/>
  <c r="V332" i="2"/>
  <c r="AB332" i="2" s="1"/>
  <c r="AC332" i="2" s="1"/>
  <c r="AR332" i="2" s="1"/>
  <c r="T332" i="2"/>
  <c r="T300" i="2"/>
  <c r="V300" i="2"/>
  <c r="AB300" i="2" s="1"/>
  <c r="AC300" i="2" s="1"/>
  <c r="AR300" i="2" s="1"/>
  <c r="T301" i="2"/>
  <c r="V301" i="2"/>
  <c r="AB301" i="2" s="1"/>
  <c r="AC301" i="2" s="1"/>
  <c r="AR301" i="2" s="1"/>
  <c r="V220" i="2"/>
  <c r="AB220" i="2" s="1"/>
  <c r="AC220" i="2" s="1"/>
  <c r="AR220" i="2" s="1"/>
  <c r="V473" i="2"/>
  <c r="AB473" i="2" s="1"/>
  <c r="AC473" i="2" s="1"/>
  <c r="V219" i="2"/>
  <c r="AB219" i="2" s="1"/>
  <c r="AC219" i="2" s="1"/>
  <c r="AR219" i="2" s="1"/>
  <c r="V218" i="2"/>
  <c r="AB218" i="2" s="1"/>
  <c r="AC218" i="2" s="1"/>
  <c r="V271" i="2"/>
  <c r="AB271" i="2" s="1"/>
  <c r="AC271" i="2" s="1"/>
  <c r="AR271" i="2" s="1"/>
  <c r="V331" i="2"/>
  <c r="AB331" i="2" s="1"/>
  <c r="AC331" i="2" s="1"/>
  <c r="AR331" i="2" s="1"/>
  <c r="V272" i="2"/>
  <c r="AB272" i="2" s="1"/>
  <c r="AC272" i="2" s="1"/>
  <c r="V299" i="2"/>
  <c r="AB299" i="2" s="1"/>
  <c r="AC299" i="2" s="1"/>
  <c r="V498" i="2"/>
  <c r="AB498" i="2" s="1"/>
  <c r="AC498" i="2" s="1"/>
  <c r="V499" i="2"/>
  <c r="AB499" i="2" s="1"/>
  <c r="AC499" i="2" s="1"/>
  <c r="AR499" i="2" s="1"/>
  <c r="V298" i="2"/>
  <c r="AB298" i="2" s="1"/>
  <c r="AC298" i="2" s="1"/>
  <c r="AR298" i="2" s="1"/>
  <c r="T298" i="2"/>
  <c r="T26" i="2"/>
  <c r="V26" i="2"/>
  <c r="AB26" i="2" s="1"/>
  <c r="AC26" i="2" s="1"/>
  <c r="V217" i="2"/>
  <c r="AB217" i="2" s="1"/>
  <c r="AC217" i="2" s="1"/>
  <c r="V424" i="2"/>
  <c r="T424" i="2"/>
  <c r="X424" i="2" s="1"/>
  <c r="Y424" i="2" s="1"/>
  <c r="AA424" i="2" s="1"/>
  <c r="V297" i="2"/>
  <c r="AB297" i="2" s="1"/>
  <c r="AC297" i="2" s="1"/>
  <c r="AR297" i="2" s="1"/>
  <c r="AH216" i="2"/>
  <c r="AG216" i="2"/>
  <c r="AE216" i="2"/>
  <c r="AD216" i="2"/>
  <c r="P216" i="2"/>
  <c r="Q216" i="2" s="1"/>
  <c r="K216" i="2"/>
  <c r="AF216" i="2" s="1"/>
  <c r="AH270" i="2"/>
  <c r="AG270" i="2"/>
  <c r="AE270" i="2"/>
  <c r="AD270" i="2"/>
  <c r="P270" i="2"/>
  <c r="Q270" i="2" s="1"/>
  <c r="K270" i="2"/>
  <c r="AF270" i="2" s="1"/>
  <c r="AD237" i="2"/>
  <c r="AE237" i="2"/>
  <c r="AG237" i="2"/>
  <c r="AH237" i="2"/>
  <c r="P237" i="2"/>
  <c r="Q237" i="2" s="1"/>
  <c r="K237" i="2"/>
  <c r="AF237" i="2" s="1"/>
  <c r="K236" i="2"/>
  <c r="N450" i="4" l="1"/>
  <c r="O450" i="4" s="1"/>
  <c r="S450" i="4" s="1"/>
  <c r="U449" i="4"/>
  <c r="AR272" i="2"/>
  <c r="AR299" i="2"/>
  <c r="AR498" i="2"/>
  <c r="AN216" i="2"/>
  <c r="AJ216" i="2"/>
  <c r="AP216" i="2" s="1"/>
  <c r="AR217" i="2"/>
  <c r="AP26" i="2"/>
  <c r="AR26" i="2" s="1"/>
  <c r="AR218" i="2"/>
  <c r="AR473" i="2"/>
  <c r="AJ270" i="2"/>
  <c r="AP270" i="2" s="1"/>
  <c r="AN270" i="2"/>
  <c r="AP237" i="2"/>
  <c r="AJ237" i="2"/>
  <c r="R216" i="2"/>
  <c r="T216" i="2" s="1"/>
  <c r="AB424" i="2"/>
  <c r="AC424" i="2" s="1"/>
  <c r="AN424" i="2" s="1"/>
  <c r="AR424" i="2" s="1"/>
  <c r="R270" i="2"/>
  <c r="T270" i="2" s="1"/>
  <c r="X216" i="2"/>
  <c r="Y216" i="2" s="1"/>
  <c r="AA216" i="2" s="1"/>
  <c r="X270" i="2"/>
  <c r="Y270" i="2" s="1"/>
  <c r="AA270" i="2" s="1"/>
  <c r="R237" i="2"/>
  <c r="X237" i="2"/>
  <c r="Y237" i="2" s="1"/>
  <c r="AA237" i="2" s="1"/>
  <c r="P450" i="4" l="1"/>
  <c r="Q450" i="4" s="1"/>
  <c r="T450" i="4" s="1"/>
  <c r="AL216" i="2"/>
  <c r="AL270" i="2"/>
  <c r="AL237" i="2"/>
  <c r="V216" i="2"/>
  <c r="AB216" i="2" s="1"/>
  <c r="AC216" i="2" s="1"/>
  <c r="AR216" i="2" s="1"/>
  <c r="V270" i="2"/>
  <c r="AB270" i="2" s="1"/>
  <c r="AC270" i="2" s="1"/>
  <c r="AR270" i="2" s="1"/>
  <c r="V237" i="2"/>
  <c r="AB237" i="2" s="1"/>
  <c r="AC237" i="2" s="1"/>
  <c r="T237" i="2"/>
  <c r="U450" i="4" l="1"/>
  <c r="AN237" i="2"/>
  <c r="AR237" i="2" s="1"/>
  <c r="AD497" i="2"/>
  <c r="AE497" i="2"/>
  <c r="AG497" i="2"/>
  <c r="AH497" i="2"/>
  <c r="P497" i="2"/>
  <c r="Q497" i="2" s="1"/>
  <c r="K497" i="2"/>
  <c r="AF497" i="2" s="1"/>
  <c r="AD496" i="2"/>
  <c r="AE496" i="2"/>
  <c r="AG496" i="2"/>
  <c r="AH496" i="2"/>
  <c r="P496" i="2"/>
  <c r="Q496" i="2" s="1"/>
  <c r="K496" i="2"/>
  <c r="AF496" i="2" s="1"/>
  <c r="AD495" i="2"/>
  <c r="AE495" i="2"/>
  <c r="AG495" i="2"/>
  <c r="AH495" i="2"/>
  <c r="P495" i="2"/>
  <c r="Q495" i="2" s="1"/>
  <c r="K495" i="2"/>
  <c r="AF495" i="2" s="1"/>
  <c r="N25" i="2"/>
  <c r="Z52" i="2"/>
  <c r="W52" i="2"/>
  <c r="U52" i="2"/>
  <c r="AH46" i="2"/>
  <c r="AG46" i="2"/>
  <c r="AE46" i="2"/>
  <c r="AD46" i="2"/>
  <c r="N46" i="2"/>
  <c r="P46" i="2" s="1"/>
  <c r="K46" i="2"/>
  <c r="AF46" i="2" s="1"/>
  <c r="AD472" i="2"/>
  <c r="AE472" i="2"/>
  <c r="AG472" i="2"/>
  <c r="AH472" i="2"/>
  <c r="P472" i="2"/>
  <c r="Q472" i="2" s="1"/>
  <c r="K472" i="2"/>
  <c r="AF472" i="2" s="1"/>
  <c r="Q46" i="2" l="1"/>
  <c r="M61" i="4"/>
  <c r="T61" i="4" s="1"/>
  <c r="AN496" i="2"/>
  <c r="AJ496" i="2"/>
  <c r="AP496" i="2" s="1"/>
  <c r="AN46" i="2"/>
  <c r="AJ46" i="2"/>
  <c r="AN472" i="2"/>
  <c r="AJ472" i="2"/>
  <c r="AJ495" i="2"/>
  <c r="AP495" i="2" s="1"/>
  <c r="AN495" i="2"/>
  <c r="AN497" i="2"/>
  <c r="AJ497" i="2"/>
  <c r="R497" i="2"/>
  <c r="T497" i="2" s="1"/>
  <c r="R472" i="2"/>
  <c r="X497" i="2"/>
  <c r="Y497" i="2" s="1"/>
  <c r="AA497" i="2" s="1"/>
  <c r="R46" i="2"/>
  <c r="T46" i="2" s="1"/>
  <c r="X46" i="2"/>
  <c r="Y46" i="2" s="1"/>
  <c r="AA46" i="2" s="1"/>
  <c r="R496" i="2"/>
  <c r="X496" i="2"/>
  <c r="Y496" i="2" s="1"/>
  <c r="AA496" i="2" s="1"/>
  <c r="R495" i="2"/>
  <c r="X495" i="2"/>
  <c r="Y495" i="2" s="1"/>
  <c r="AA495" i="2" s="1"/>
  <c r="AD492" i="2"/>
  <c r="AE492" i="2"/>
  <c r="AG492" i="2"/>
  <c r="AH492" i="2"/>
  <c r="AD493" i="2"/>
  <c r="AE493" i="2"/>
  <c r="AG493" i="2"/>
  <c r="AH493" i="2"/>
  <c r="AD494" i="2"/>
  <c r="AE494" i="2"/>
  <c r="AG494" i="2"/>
  <c r="AH494" i="2"/>
  <c r="W502" i="2"/>
  <c r="S502" i="2"/>
  <c r="P494" i="2"/>
  <c r="Q494" i="2" s="1"/>
  <c r="K494" i="2"/>
  <c r="AF494" i="2" s="1"/>
  <c r="N493" i="2"/>
  <c r="K493" i="2"/>
  <c r="AF493" i="2" s="1"/>
  <c r="P492" i="2"/>
  <c r="Q492" i="2" s="1"/>
  <c r="K492" i="2"/>
  <c r="AF492" i="2" s="1"/>
  <c r="AH491" i="2"/>
  <c r="AG491" i="2"/>
  <c r="AE491" i="2"/>
  <c r="AD491" i="2"/>
  <c r="P491" i="2"/>
  <c r="Q491" i="2" s="1"/>
  <c r="K491" i="2"/>
  <c r="AF491" i="2" s="1"/>
  <c r="AH490" i="2"/>
  <c r="AG490" i="2"/>
  <c r="AE490" i="2"/>
  <c r="AD490" i="2"/>
  <c r="P490" i="2"/>
  <c r="Q490" i="2" s="1"/>
  <c r="K490" i="2"/>
  <c r="AF490" i="2" s="1"/>
  <c r="AH489" i="2"/>
  <c r="AG489" i="2"/>
  <c r="AE489" i="2"/>
  <c r="AD489" i="2"/>
  <c r="P489" i="2"/>
  <c r="Q489" i="2" s="1"/>
  <c r="K489" i="2"/>
  <c r="AF489" i="2" s="1"/>
  <c r="AH488" i="2"/>
  <c r="AG488" i="2"/>
  <c r="AE488" i="2"/>
  <c r="AD488" i="2"/>
  <c r="P488" i="2"/>
  <c r="Q488" i="2" s="1"/>
  <c r="K488" i="2"/>
  <c r="AF488" i="2" s="1"/>
  <c r="AH487" i="2"/>
  <c r="AG487" i="2"/>
  <c r="AE487" i="2"/>
  <c r="AD487" i="2"/>
  <c r="P487" i="2"/>
  <c r="Q487" i="2" s="1"/>
  <c r="K487" i="2"/>
  <c r="AF487" i="2" s="1"/>
  <c r="AH486" i="2"/>
  <c r="AG486" i="2"/>
  <c r="AE486" i="2"/>
  <c r="AD486" i="2"/>
  <c r="P486" i="2"/>
  <c r="Q486" i="2" s="1"/>
  <c r="K486" i="2"/>
  <c r="AF486" i="2" s="1"/>
  <c r="AH485" i="2"/>
  <c r="AG485" i="2"/>
  <c r="AE485" i="2"/>
  <c r="AD485" i="2"/>
  <c r="P485" i="2"/>
  <c r="K485" i="2"/>
  <c r="AF485" i="2" s="1"/>
  <c r="Z482" i="2"/>
  <c r="W482" i="2"/>
  <c r="U482" i="2"/>
  <c r="S482" i="2"/>
  <c r="N482" i="2"/>
  <c r="AH471" i="2"/>
  <c r="AG471" i="2"/>
  <c r="AE471" i="2"/>
  <c r="AD471" i="2"/>
  <c r="P471" i="2"/>
  <c r="Q471" i="2" s="1"/>
  <c r="K471" i="2"/>
  <c r="AF471" i="2" s="1"/>
  <c r="AH470" i="2"/>
  <c r="AG470" i="2"/>
  <c r="AE470" i="2"/>
  <c r="AD470" i="2"/>
  <c r="P470" i="2"/>
  <c r="Q470" i="2" s="1"/>
  <c r="K470" i="2"/>
  <c r="AF470" i="2" s="1"/>
  <c r="AH469" i="2"/>
  <c r="AG469" i="2"/>
  <c r="AE469" i="2"/>
  <c r="AD469" i="2"/>
  <c r="P469" i="2"/>
  <c r="Q469" i="2" s="1"/>
  <c r="K469" i="2"/>
  <c r="AF469" i="2" s="1"/>
  <c r="AH468" i="2"/>
  <c r="AG468" i="2"/>
  <c r="AE468" i="2"/>
  <c r="AD468" i="2"/>
  <c r="P468" i="2"/>
  <c r="Q468" i="2" s="1"/>
  <c r="K468" i="2"/>
  <c r="AF468" i="2" s="1"/>
  <c r="AH467" i="2"/>
  <c r="AG467" i="2"/>
  <c r="AE467" i="2"/>
  <c r="AD467" i="2"/>
  <c r="P467" i="2"/>
  <c r="Q467" i="2" s="1"/>
  <c r="K467" i="2"/>
  <c r="AF467" i="2" s="1"/>
  <c r="AH466" i="2"/>
  <c r="AG466" i="2"/>
  <c r="AE466" i="2"/>
  <c r="AD466" i="2"/>
  <c r="P466" i="2"/>
  <c r="Q466" i="2" s="1"/>
  <c r="K466" i="2"/>
  <c r="AF466" i="2" s="1"/>
  <c r="AH465" i="2"/>
  <c r="AG465" i="2"/>
  <c r="AE465" i="2"/>
  <c r="AD465" i="2"/>
  <c r="P465" i="2"/>
  <c r="Q465" i="2" s="1"/>
  <c r="K465" i="2"/>
  <c r="AF465" i="2" s="1"/>
  <c r="AH464" i="2"/>
  <c r="AG464" i="2"/>
  <c r="AE464" i="2"/>
  <c r="AD464" i="2"/>
  <c r="P464" i="2"/>
  <c r="Q464" i="2" s="1"/>
  <c r="K464" i="2"/>
  <c r="AF464" i="2" s="1"/>
  <c r="AH463" i="2"/>
  <c r="AG463" i="2"/>
  <c r="AE463" i="2"/>
  <c r="AD463" i="2"/>
  <c r="P463" i="2"/>
  <c r="Q463" i="2" s="1"/>
  <c r="K463" i="2"/>
  <c r="AF463" i="2" s="1"/>
  <c r="AH462" i="2"/>
  <c r="AG462" i="2"/>
  <c r="AE462" i="2"/>
  <c r="AD462" i="2"/>
  <c r="P462" i="2"/>
  <c r="Q462" i="2" s="1"/>
  <c r="K462" i="2"/>
  <c r="AF462" i="2" s="1"/>
  <c r="AH461" i="2"/>
  <c r="AG461" i="2"/>
  <c r="AE461" i="2"/>
  <c r="AD461" i="2"/>
  <c r="P461" i="2"/>
  <c r="Q461" i="2" s="1"/>
  <c r="K461" i="2"/>
  <c r="AF461" i="2" s="1"/>
  <c r="AH460" i="2"/>
  <c r="AG460" i="2"/>
  <c r="AE460" i="2"/>
  <c r="AD460" i="2"/>
  <c r="P460" i="2"/>
  <c r="Q460" i="2" s="1"/>
  <c r="K460" i="2"/>
  <c r="AF460" i="2" s="1"/>
  <c r="AH459" i="2"/>
  <c r="AG459" i="2"/>
  <c r="AE459" i="2"/>
  <c r="AD459" i="2"/>
  <c r="P459" i="2"/>
  <c r="Q459" i="2" s="1"/>
  <c r="K459" i="2"/>
  <c r="AF459" i="2" s="1"/>
  <c r="AH458" i="2"/>
  <c r="AG458" i="2"/>
  <c r="AE458" i="2"/>
  <c r="AD458" i="2"/>
  <c r="P458" i="2"/>
  <c r="Q458" i="2" s="1"/>
  <c r="K458" i="2"/>
  <c r="AF458" i="2" s="1"/>
  <c r="AH457" i="2"/>
  <c r="AG457" i="2"/>
  <c r="AE457" i="2"/>
  <c r="AD457" i="2"/>
  <c r="P457" i="2"/>
  <c r="Q457" i="2" s="1"/>
  <c r="K457" i="2"/>
  <c r="AF457" i="2" s="1"/>
  <c r="AH456" i="2"/>
  <c r="AG456" i="2"/>
  <c r="AE456" i="2"/>
  <c r="AD456" i="2"/>
  <c r="P456" i="2"/>
  <c r="Q456" i="2" s="1"/>
  <c r="K456" i="2"/>
  <c r="AF456" i="2" s="1"/>
  <c r="AH455" i="2"/>
  <c r="AG455" i="2"/>
  <c r="AE455" i="2"/>
  <c r="AD455" i="2"/>
  <c r="P455" i="2"/>
  <c r="Q455" i="2" s="1"/>
  <c r="K455" i="2"/>
  <c r="AF455" i="2" s="1"/>
  <c r="AH454" i="2"/>
  <c r="AG454" i="2"/>
  <c r="AE454" i="2"/>
  <c r="AD454" i="2"/>
  <c r="P454" i="2"/>
  <c r="Q454" i="2" s="1"/>
  <c r="K454" i="2"/>
  <c r="AF454" i="2" s="1"/>
  <c r="AH453" i="2"/>
  <c r="AG453" i="2"/>
  <c r="AE453" i="2"/>
  <c r="AD453" i="2"/>
  <c r="P453" i="2"/>
  <c r="Q453" i="2" s="1"/>
  <c r="K453" i="2"/>
  <c r="AF453" i="2" s="1"/>
  <c r="AH452" i="2"/>
  <c r="AG452" i="2"/>
  <c r="AE452" i="2"/>
  <c r="AD452" i="2"/>
  <c r="P452" i="2"/>
  <c r="Q452" i="2" s="1"/>
  <c r="K452" i="2"/>
  <c r="AF452" i="2" s="1"/>
  <c r="AH451" i="2"/>
  <c r="AG451" i="2"/>
  <c r="AE451" i="2"/>
  <c r="AD451" i="2"/>
  <c r="P451" i="2"/>
  <c r="Q451" i="2" s="1"/>
  <c r="K451" i="2"/>
  <c r="AF451" i="2" s="1"/>
  <c r="AH450" i="2"/>
  <c r="AG450" i="2"/>
  <c r="AE450" i="2"/>
  <c r="AD450" i="2"/>
  <c r="P450" i="2"/>
  <c r="Q450" i="2" s="1"/>
  <c r="K450" i="2"/>
  <c r="AF450" i="2" s="1"/>
  <c r="AH449" i="2"/>
  <c r="AG449" i="2"/>
  <c r="AE449" i="2"/>
  <c r="AD449" i="2"/>
  <c r="P449" i="2"/>
  <c r="Q449" i="2" s="1"/>
  <c r="K449" i="2"/>
  <c r="AF449" i="2" s="1"/>
  <c r="AH448" i="2"/>
  <c r="AG448" i="2"/>
  <c r="AE448" i="2"/>
  <c r="AD448" i="2"/>
  <c r="P448" i="2"/>
  <c r="Q448" i="2" s="1"/>
  <c r="K448" i="2"/>
  <c r="AF448" i="2" s="1"/>
  <c r="U445" i="2"/>
  <c r="S445" i="2"/>
  <c r="AH434" i="2"/>
  <c r="AG434" i="2"/>
  <c r="AE434" i="2"/>
  <c r="AD434" i="2"/>
  <c r="P434" i="2"/>
  <c r="K434" i="2"/>
  <c r="AF434" i="2" s="1"/>
  <c r="AH433" i="2"/>
  <c r="AG433" i="2"/>
  <c r="AE433" i="2"/>
  <c r="AD433" i="2"/>
  <c r="P433" i="2"/>
  <c r="Q433" i="2" s="1"/>
  <c r="K433" i="2"/>
  <c r="AF433" i="2" s="1"/>
  <c r="AH432" i="2"/>
  <c r="AG432" i="2"/>
  <c r="AE432" i="2"/>
  <c r="AD432" i="2"/>
  <c r="P432" i="2"/>
  <c r="Q432" i="2" s="1"/>
  <c r="K432" i="2"/>
  <c r="AF432" i="2" s="1"/>
  <c r="AH431" i="2"/>
  <c r="AG431" i="2"/>
  <c r="AE431" i="2"/>
  <c r="AD431" i="2"/>
  <c r="P431" i="2"/>
  <c r="Q431" i="2" s="1"/>
  <c r="K431" i="2"/>
  <c r="AF431" i="2" s="1"/>
  <c r="AH430" i="2"/>
  <c r="AG430" i="2"/>
  <c r="AE430" i="2"/>
  <c r="AD430" i="2"/>
  <c r="N430" i="2"/>
  <c r="P430" i="2" s="1"/>
  <c r="Q430" i="2" s="1"/>
  <c r="K430" i="2"/>
  <c r="AF430" i="2" s="1"/>
  <c r="AH429" i="2"/>
  <c r="AG429" i="2"/>
  <c r="AE429" i="2"/>
  <c r="AD429" i="2"/>
  <c r="P429" i="2"/>
  <c r="Q429" i="2" s="1"/>
  <c r="K429" i="2"/>
  <c r="AF429" i="2" s="1"/>
  <c r="AH428" i="2"/>
  <c r="AG428" i="2"/>
  <c r="AE428" i="2"/>
  <c r="AD428" i="2"/>
  <c r="P428" i="2"/>
  <c r="Q428" i="2" s="1"/>
  <c r="K428" i="2"/>
  <c r="AF428" i="2" s="1"/>
  <c r="AH427" i="2"/>
  <c r="AG427" i="2"/>
  <c r="AE427" i="2"/>
  <c r="AD427" i="2"/>
  <c r="P427" i="2"/>
  <c r="Q427" i="2" s="1"/>
  <c r="K427" i="2"/>
  <c r="AF427" i="2" s="1"/>
  <c r="AH426" i="2"/>
  <c r="AG426" i="2"/>
  <c r="AE426" i="2"/>
  <c r="AD426" i="2"/>
  <c r="P426" i="2"/>
  <c r="Q426" i="2" s="1"/>
  <c r="K426" i="2"/>
  <c r="AF426" i="2" s="1"/>
  <c r="AH425" i="2"/>
  <c r="AG425" i="2"/>
  <c r="AE425" i="2"/>
  <c r="AD425" i="2"/>
  <c r="P425" i="2"/>
  <c r="K425" i="2"/>
  <c r="AF425" i="2" s="1"/>
  <c r="AH423" i="2"/>
  <c r="AG423" i="2"/>
  <c r="AE423" i="2"/>
  <c r="AD423" i="2"/>
  <c r="N423" i="2"/>
  <c r="P423" i="2" s="1"/>
  <c r="K423" i="2"/>
  <c r="AF423" i="2" s="1"/>
  <c r="AH422" i="2"/>
  <c r="AG422" i="2"/>
  <c r="AE422" i="2"/>
  <c r="AD422" i="2"/>
  <c r="P422" i="2"/>
  <c r="Q422" i="2" s="1"/>
  <c r="K422" i="2"/>
  <c r="AF422" i="2" s="1"/>
  <c r="AH421" i="2"/>
  <c r="AG421" i="2"/>
  <c r="AE421" i="2"/>
  <c r="AD421" i="2"/>
  <c r="P421" i="2"/>
  <c r="K421" i="2"/>
  <c r="AF421" i="2" s="1"/>
  <c r="AH420" i="2"/>
  <c r="AG420" i="2"/>
  <c r="AE420" i="2"/>
  <c r="AD420" i="2"/>
  <c r="P420" i="2"/>
  <c r="Q420" i="2" s="1"/>
  <c r="K420" i="2"/>
  <c r="AF420" i="2" s="1"/>
  <c r="AH419" i="2"/>
  <c r="AG419" i="2"/>
  <c r="AE419" i="2"/>
  <c r="AD419" i="2"/>
  <c r="N419" i="2"/>
  <c r="K419" i="2"/>
  <c r="AF419" i="2" s="1"/>
  <c r="AH418" i="2"/>
  <c r="AG418" i="2"/>
  <c r="AE418" i="2"/>
  <c r="AD418" i="2"/>
  <c r="P418" i="2"/>
  <c r="Q418" i="2" s="1"/>
  <c r="K418" i="2"/>
  <c r="AF418" i="2" s="1"/>
  <c r="AH417" i="2"/>
  <c r="AG417" i="2"/>
  <c r="AE417" i="2"/>
  <c r="AD417" i="2"/>
  <c r="P417" i="2"/>
  <c r="Q417" i="2" s="1"/>
  <c r="K417" i="2"/>
  <c r="AF417" i="2" s="1"/>
  <c r="AH416" i="2"/>
  <c r="AG416" i="2"/>
  <c r="AE416" i="2"/>
  <c r="AD416" i="2"/>
  <c r="P416" i="2"/>
  <c r="Q416" i="2" s="1"/>
  <c r="K416" i="2"/>
  <c r="AF416" i="2" s="1"/>
  <c r="AH415" i="2"/>
  <c r="AG415" i="2"/>
  <c r="AE415" i="2"/>
  <c r="AD415" i="2"/>
  <c r="P415" i="2"/>
  <c r="Q415" i="2" s="1"/>
  <c r="K415" i="2"/>
  <c r="AF415" i="2" s="1"/>
  <c r="AH414" i="2"/>
  <c r="AG414" i="2"/>
  <c r="AE414" i="2"/>
  <c r="AD414" i="2"/>
  <c r="P414" i="2"/>
  <c r="Q414" i="2" s="1"/>
  <c r="K414" i="2"/>
  <c r="AF414" i="2" s="1"/>
  <c r="AH413" i="2"/>
  <c r="AG413" i="2"/>
  <c r="AE413" i="2"/>
  <c r="AD413" i="2"/>
  <c r="P413" i="2"/>
  <c r="Q413" i="2" s="1"/>
  <c r="K413" i="2"/>
  <c r="AF413" i="2" s="1"/>
  <c r="AH412" i="2"/>
  <c r="AG412" i="2"/>
  <c r="AE412" i="2"/>
  <c r="AD412" i="2"/>
  <c r="P412" i="2"/>
  <c r="Q412" i="2" s="1"/>
  <c r="K412" i="2"/>
  <c r="AF412" i="2" s="1"/>
  <c r="AH411" i="2"/>
  <c r="AG411" i="2"/>
  <c r="AE411" i="2"/>
  <c r="AD411" i="2"/>
  <c r="P411" i="2"/>
  <c r="Q411" i="2" s="1"/>
  <c r="K411" i="2"/>
  <c r="AF411" i="2" s="1"/>
  <c r="AH410" i="2"/>
  <c r="AG410" i="2"/>
  <c r="AE410" i="2"/>
  <c r="AD410" i="2"/>
  <c r="P410" i="2"/>
  <c r="Q410" i="2" s="1"/>
  <c r="K410" i="2"/>
  <c r="AF410" i="2" s="1"/>
  <c r="AH409" i="2"/>
  <c r="AG409" i="2"/>
  <c r="AE409" i="2"/>
  <c r="AD409" i="2"/>
  <c r="P409" i="2"/>
  <c r="Q409" i="2" s="1"/>
  <c r="K409" i="2"/>
  <c r="AF409" i="2" s="1"/>
  <c r="AH408" i="2"/>
  <c r="AG408" i="2"/>
  <c r="AE408" i="2"/>
  <c r="AD408" i="2"/>
  <c r="P408" i="2"/>
  <c r="Q408" i="2" s="1"/>
  <c r="K408" i="2"/>
  <c r="AF408" i="2" s="1"/>
  <c r="AH407" i="2"/>
  <c r="AG407" i="2"/>
  <c r="AE407" i="2"/>
  <c r="AD407" i="2"/>
  <c r="P407" i="2"/>
  <c r="Q407" i="2" s="1"/>
  <c r="K407" i="2"/>
  <c r="AF407" i="2" s="1"/>
  <c r="AH406" i="2"/>
  <c r="AG406" i="2"/>
  <c r="AE406" i="2"/>
  <c r="AD406" i="2"/>
  <c r="P406" i="2"/>
  <c r="Q406" i="2" s="1"/>
  <c r="K406" i="2"/>
  <c r="AF406" i="2" s="1"/>
  <c r="AH405" i="2"/>
  <c r="AG405" i="2"/>
  <c r="AE405" i="2"/>
  <c r="AD405" i="2"/>
  <c r="P405" i="2"/>
  <c r="Q405" i="2" s="1"/>
  <c r="K405" i="2"/>
  <c r="AF405" i="2" s="1"/>
  <c r="AH404" i="2"/>
  <c r="AG404" i="2"/>
  <c r="AE404" i="2"/>
  <c r="AD404" i="2"/>
  <c r="P404" i="2"/>
  <c r="Q404" i="2" s="1"/>
  <c r="K404" i="2"/>
  <c r="AF404" i="2" s="1"/>
  <c r="AH403" i="2"/>
  <c r="AG403" i="2"/>
  <c r="AE403" i="2"/>
  <c r="AD403" i="2"/>
  <c r="P403" i="2"/>
  <c r="Q403" i="2" s="1"/>
  <c r="K403" i="2"/>
  <c r="AF403" i="2" s="1"/>
  <c r="AH526" i="2"/>
  <c r="AG526" i="2"/>
  <c r="AE526" i="2"/>
  <c r="AD526" i="2"/>
  <c r="P526" i="2"/>
  <c r="Q526" i="2" s="1"/>
  <c r="K526" i="2"/>
  <c r="AF526" i="2" s="1"/>
  <c r="AH402" i="2"/>
  <c r="AG402" i="2"/>
  <c r="AE402" i="2"/>
  <c r="AD402" i="2"/>
  <c r="P402" i="2"/>
  <c r="Q402" i="2" s="1"/>
  <c r="K402" i="2"/>
  <c r="AF402" i="2" s="1"/>
  <c r="AH401" i="2"/>
  <c r="AG401" i="2"/>
  <c r="AE401" i="2"/>
  <c r="AD401" i="2"/>
  <c r="P401" i="2"/>
  <c r="Q401" i="2" s="1"/>
  <c r="K401" i="2"/>
  <c r="AF401" i="2" s="1"/>
  <c r="AH393" i="2"/>
  <c r="AG393" i="2"/>
  <c r="AE393" i="2"/>
  <c r="AD393" i="2"/>
  <c r="P393" i="2"/>
  <c r="K393" i="2"/>
  <c r="AF393" i="2" s="1"/>
  <c r="AH392" i="2"/>
  <c r="AG392" i="2"/>
  <c r="AE392" i="2"/>
  <c r="AD392" i="2"/>
  <c r="P392" i="2"/>
  <c r="K392" i="2"/>
  <c r="AF392" i="2" s="1"/>
  <c r="Z356" i="2"/>
  <c r="W356" i="2"/>
  <c r="S356" i="2"/>
  <c r="AH349" i="2"/>
  <c r="AG349" i="2"/>
  <c r="AE349" i="2"/>
  <c r="AD349" i="2"/>
  <c r="P349" i="2"/>
  <c r="Q349" i="2" s="1"/>
  <c r="K349" i="2"/>
  <c r="AF349" i="2" s="1"/>
  <c r="AH348" i="2"/>
  <c r="AG348" i="2"/>
  <c r="AE348" i="2"/>
  <c r="AD348" i="2"/>
  <c r="P348" i="2"/>
  <c r="Q348" i="2" s="1"/>
  <c r="K348" i="2"/>
  <c r="AF348" i="2" s="1"/>
  <c r="AH347" i="2"/>
  <c r="AG347" i="2"/>
  <c r="AE347" i="2"/>
  <c r="AD347" i="2"/>
  <c r="N347" i="2"/>
  <c r="K347" i="2"/>
  <c r="AF347" i="2" s="1"/>
  <c r="AH346" i="2"/>
  <c r="AG346" i="2"/>
  <c r="AE346" i="2"/>
  <c r="AD346" i="2"/>
  <c r="P346" i="2"/>
  <c r="Q346" i="2" s="1"/>
  <c r="K346" i="2"/>
  <c r="AF346" i="2" s="1"/>
  <c r="AH344" i="2"/>
  <c r="AG344" i="2"/>
  <c r="AE344" i="2"/>
  <c r="AD344" i="2"/>
  <c r="P344" i="2"/>
  <c r="Q344" i="2" s="1"/>
  <c r="K344" i="2"/>
  <c r="AF344" i="2" s="1"/>
  <c r="AH343" i="2"/>
  <c r="AG343" i="2"/>
  <c r="AE343" i="2"/>
  <c r="AD343" i="2"/>
  <c r="N343" i="2"/>
  <c r="K343" i="2"/>
  <c r="AF343" i="2" s="1"/>
  <c r="AH342" i="2"/>
  <c r="AG342" i="2"/>
  <c r="AE342" i="2"/>
  <c r="AD342" i="2"/>
  <c r="P342" i="2"/>
  <c r="Q342" i="2" s="1"/>
  <c r="K342" i="2"/>
  <c r="AF342" i="2" s="1"/>
  <c r="Z339" i="2"/>
  <c r="W339" i="2"/>
  <c r="U339" i="2"/>
  <c r="U389" i="2" s="1"/>
  <c r="S339" i="2"/>
  <c r="AH330" i="2"/>
  <c r="AG330" i="2"/>
  <c r="AE330" i="2"/>
  <c r="AD330" i="2"/>
  <c r="P330" i="2"/>
  <c r="Q330" i="2" s="1"/>
  <c r="K330" i="2"/>
  <c r="AF330" i="2" s="1"/>
  <c r="AH329" i="2"/>
  <c r="AG329" i="2"/>
  <c r="AE329" i="2"/>
  <c r="AD329" i="2"/>
  <c r="P329" i="2"/>
  <c r="Q329" i="2" s="1"/>
  <c r="K329" i="2"/>
  <c r="AF329" i="2" s="1"/>
  <c r="AH328" i="2"/>
  <c r="AG328" i="2"/>
  <c r="AE328" i="2"/>
  <c r="AD328" i="2"/>
  <c r="P328" i="2"/>
  <c r="Q328" i="2" s="1"/>
  <c r="K328" i="2"/>
  <c r="AF328" i="2" s="1"/>
  <c r="AH327" i="2"/>
  <c r="AG327" i="2"/>
  <c r="AE327" i="2"/>
  <c r="AD327" i="2"/>
  <c r="N327" i="2"/>
  <c r="N339" i="2" s="1"/>
  <c r="K327" i="2"/>
  <c r="AF327" i="2" s="1"/>
  <c r="C324" i="2"/>
  <c r="AH296" i="2"/>
  <c r="AG296" i="2"/>
  <c r="AE296" i="2"/>
  <c r="AD296" i="2"/>
  <c r="P296" i="2"/>
  <c r="Q296" i="2" s="1"/>
  <c r="K296" i="2"/>
  <c r="AF296" i="2" s="1"/>
  <c r="AH295" i="2"/>
  <c r="AG295" i="2"/>
  <c r="AE295" i="2"/>
  <c r="AD295" i="2"/>
  <c r="P295" i="2"/>
  <c r="Q295" i="2" s="1"/>
  <c r="K295" i="2"/>
  <c r="AF295" i="2" s="1"/>
  <c r="AH294" i="2"/>
  <c r="AG294" i="2"/>
  <c r="AE294" i="2"/>
  <c r="AD294" i="2"/>
  <c r="P294" i="2"/>
  <c r="Q294" i="2" s="1"/>
  <c r="K294" i="2"/>
  <c r="AF294" i="2" s="1"/>
  <c r="AH293" i="2"/>
  <c r="AG293" i="2"/>
  <c r="AE293" i="2"/>
  <c r="AD293" i="2"/>
  <c r="N293" i="2"/>
  <c r="P293" i="2" s="1"/>
  <c r="Q293" i="2" s="1"/>
  <c r="K293" i="2"/>
  <c r="AF293" i="2" s="1"/>
  <c r="AH292" i="2"/>
  <c r="AG292" i="2"/>
  <c r="AE292" i="2"/>
  <c r="AD292" i="2"/>
  <c r="N292" i="2"/>
  <c r="P292" i="2" s="1"/>
  <c r="Q292" i="2" s="1"/>
  <c r="K292" i="2"/>
  <c r="AF292" i="2" s="1"/>
  <c r="AH291" i="2"/>
  <c r="AG291" i="2"/>
  <c r="AE291" i="2"/>
  <c r="AD291" i="2"/>
  <c r="P291" i="2"/>
  <c r="Q291" i="2" s="1"/>
  <c r="K291" i="2"/>
  <c r="AF291" i="2" s="1"/>
  <c r="AH290" i="2"/>
  <c r="AG290" i="2"/>
  <c r="AE290" i="2"/>
  <c r="AD290" i="2"/>
  <c r="N290" i="2"/>
  <c r="P290" i="2" s="1"/>
  <c r="Q290" i="2" s="1"/>
  <c r="K290" i="2"/>
  <c r="AF290" i="2" s="1"/>
  <c r="AH289" i="2"/>
  <c r="AG289" i="2"/>
  <c r="AE289" i="2"/>
  <c r="AD289" i="2"/>
  <c r="P289" i="2"/>
  <c r="Q289" i="2" s="1"/>
  <c r="K289" i="2"/>
  <c r="AF289" i="2" s="1"/>
  <c r="AH288" i="2"/>
  <c r="AG288" i="2"/>
  <c r="AE288" i="2"/>
  <c r="AD288" i="2"/>
  <c r="P288" i="2"/>
  <c r="Q288" i="2" s="1"/>
  <c r="K288" i="2"/>
  <c r="AF288" i="2" s="1"/>
  <c r="AH287" i="2"/>
  <c r="AG287" i="2"/>
  <c r="AE287" i="2"/>
  <c r="AD287" i="2"/>
  <c r="N287" i="2"/>
  <c r="P287" i="2" s="1"/>
  <c r="Q287" i="2" s="1"/>
  <c r="K287" i="2"/>
  <c r="AF287" i="2" s="1"/>
  <c r="AH286" i="2"/>
  <c r="AG286" i="2"/>
  <c r="AE286" i="2"/>
  <c r="AD286" i="2"/>
  <c r="P286" i="2"/>
  <c r="Q286" i="2" s="1"/>
  <c r="K286" i="2"/>
  <c r="AF286" i="2" s="1"/>
  <c r="AH285" i="2"/>
  <c r="AG285" i="2"/>
  <c r="AE285" i="2"/>
  <c r="AD285" i="2"/>
  <c r="P285" i="2"/>
  <c r="Q285" i="2" s="1"/>
  <c r="K285" i="2"/>
  <c r="AF285" i="2" s="1"/>
  <c r="AH284" i="2"/>
  <c r="AG284" i="2"/>
  <c r="AE284" i="2"/>
  <c r="AD284" i="2"/>
  <c r="N284" i="2"/>
  <c r="P284" i="2" s="1"/>
  <c r="Q284" i="2" s="1"/>
  <c r="K284" i="2"/>
  <c r="AF284" i="2" s="1"/>
  <c r="AH283" i="2"/>
  <c r="AG283" i="2"/>
  <c r="AE283" i="2"/>
  <c r="AD283" i="2"/>
  <c r="N283" i="2"/>
  <c r="P283" i="2" s="1"/>
  <c r="Q283" i="2" s="1"/>
  <c r="K283" i="2"/>
  <c r="AF283" i="2" s="1"/>
  <c r="AH282" i="2"/>
  <c r="AG282" i="2"/>
  <c r="AE282" i="2"/>
  <c r="AD282" i="2"/>
  <c r="P282" i="2"/>
  <c r="Q282" i="2" s="1"/>
  <c r="K282" i="2"/>
  <c r="AF282" i="2" s="1"/>
  <c r="AH281" i="2"/>
  <c r="AG281" i="2"/>
  <c r="AE281" i="2"/>
  <c r="AD281" i="2"/>
  <c r="N281" i="2"/>
  <c r="P281" i="2" s="1"/>
  <c r="K281" i="2"/>
  <c r="AF281" i="2" s="1"/>
  <c r="Z278" i="2"/>
  <c r="S278" i="2"/>
  <c r="C278" i="2"/>
  <c r="AH269" i="2"/>
  <c r="AG269" i="2"/>
  <c r="AE269" i="2"/>
  <c r="AD269" i="2"/>
  <c r="P269" i="2"/>
  <c r="Q269" i="2" s="1"/>
  <c r="K269" i="2"/>
  <c r="AF269" i="2" s="1"/>
  <c r="AH268" i="2"/>
  <c r="AG268" i="2"/>
  <c r="AE268" i="2"/>
  <c r="AD268" i="2"/>
  <c r="P268" i="2"/>
  <c r="Q268" i="2" s="1"/>
  <c r="K268" i="2"/>
  <c r="AF268" i="2" s="1"/>
  <c r="AH267" i="2"/>
  <c r="AG267" i="2"/>
  <c r="AE267" i="2"/>
  <c r="AD267" i="2"/>
  <c r="P267" i="2"/>
  <c r="Q267" i="2" s="1"/>
  <c r="K267" i="2"/>
  <c r="AF267" i="2" s="1"/>
  <c r="AH266" i="2"/>
  <c r="AG266" i="2"/>
  <c r="AE266" i="2"/>
  <c r="AD266" i="2"/>
  <c r="P266" i="2"/>
  <c r="Q266" i="2" s="1"/>
  <c r="K266" i="2"/>
  <c r="AF266" i="2" s="1"/>
  <c r="AH265" i="2"/>
  <c r="AG265" i="2"/>
  <c r="AE265" i="2"/>
  <c r="AD265" i="2"/>
  <c r="P265" i="2"/>
  <c r="Q265" i="2" s="1"/>
  <c r="K265" i="2"/>
  <c r="AF265" i="2" s="1"/>
  <c r="AH264" i="2"/>
  <c r="AG264" i="2"/>
  <c r="AE264" i="2"/>
  <c r="AD264" i="2"/>
  <c r="P264" i="2"/>
  <c r="Q264" i="2" s="1"/>
  <c r="K264" i="2"/>
  <c r="AF264" i="2" s="1"/>
  <c r="AH263" i="2"/>
  <c r="AG263" i="2"/>
  <c r="AE263" i="2"/>
  <c r="AD263" i="2"/>
  <c r="P263" i="2"/>
  <c r="Q263" i="2" s="1"/>
  <c r="K263" i="2"/>
  <c r="AF263" i="2" s="1"/>
  <c r="AH262" i="2"/>
  <c r="AG262" i="2"/>
  <c r="AE262" i="2"/>
  <c r="AD262" i="2"/>
  <c r="P262" i="2"/>
  <c r="Q262" i="2" s="1"/>
  <c r="K262" i="2"/>
  <c r="AF262" i="2" s="1"/>
  <c r="AH261" i="2"/>
  <c r="AG261" i="2"/>
  <c r="AE261" i="2"/>
  <c r="AD261" i="2"/>
  <c r="N261" i="2"/>
  <c r="K261" i="2"/>
  <c r="AF261" i="2" s="1"/>
  <c r="AH260" i="2"/>
  <c r="AG260" i="2"/>
  <c r="AE260" i="2"/>
  <c r="AD260" i="2"/>
  <c r="P260" i="2"/>
  <c r="Q260" i="2" s="1"/>
  <c r="K260" i="2"/>
  <c r="AF260" i="2" s="1"/>
  <c r="AH259" i="2"/>
  <c r="AG259" i="2"/>
  <c r="AE259" i="2"/>
  <c r="AD259" i="2"/>
  <c r="P259" i="2"/>
  <c r="Q259" i="2" s="1"/>
  <c r="K259" i="2"/>
  <c r="AF259" i="2" s="1"/>
  <c r="AH258" i="2"/>
  <c r="AG258" i="2"/>
  <c r="AE258" i="2"/>
  <c r="AD258" i="2"/>
  <c r="P258" i="2"/>
  <c r="Q258" i="2" s="1"/>
  <c r="K258" i="2"/>
  <c r="AF258" i="2" s="1"/>
  <c r="AH257" i="2"/>
  <c r="AG257" i="2"/>
  <c r="AE257" i="2"/>
  <c r="AD257" i="2"/>
  <c r="P257" i="2"/>
  <c r="Q257" i="2" s="1"/>
  <c r="K257" i="2"/>
  <c r="AF257" i="2" s="1"/>
  <c r="AH256" i="2"/>
  <c r="AG256" i="2"/>
  <c r="AE256" i="2"/>
  <c r="AD256" i="2"/>
  <c r="P256" i="2"/>
  <c r="Q256" i="2" s="1"/>
  <c r="K256" i="2"/>
  <c r="AF256" i="2" s="1"/>
  <c r="AH531" i="2"/>
  <c r="AG531" i="2"/>
  <c r="AE531" i="2"/>
  <c r="AD531" i="2"/>
  <c r="P531" i="2"/>
  <c r="Q531" i="2" s="1"/>
  <c r="K531" i="2"/>
  <c r="AF531" i="2" s="1"/>
  <c r="AH255" i="2"/>
  <c r="AG255" i="2"/>
  <c r="AE255" i="2"/>
  <c r="AD255" i="2"/>
  <c r="P255" i="2"/>
  <c r="Q255" i="2" s="1"/>
  <c r="K255" i="2"/>
  <c r="AF255" i="2" s="1"/>
  <c r="AH254" i="2"/>
  <c r="AG254" i="2"/>
  <c r="AE254" i="2"/>
  <c r="AD254" i="2"/>
  <c r="P254" i="2"/>
  <c r="Q254" i="2" s="1"/>
  <c r="K254" i="2"/>
  <c r="AF254" i="2" s="1"/>
  <c r="AH253" i="2"/>
  <c r="AG253" i="2"/>
  <c r="AE253" i="2"/>
  <c r="AD253" i="2"/>
  <c r="N253" i="2"/>
  <c r="P253" i="2" s="1"/>
  <c r="Q253" i="2" s="1"/>
  <c r="K253" i="2"/>
  <c r="AF253" i="2" s="1"/>
  <c r="AH252" i="2"/>
  <c r="AG252" i="2"/>
  <c r="AE252" i="2"/>
  <c r="AD252" i="2"/>
  <c r="N252" i="2"/>
  <c r="P252" i="2" s="1"/>
  <c r="K252" i="2"/>
  <c r="AF252" i="2" s="1"/>
  <c r="AH251" i="2"/>
  <c r="AG251" i="2"/>
  <c r="AE251" i="2"/>
  <c r="AD251" i="2"/>
  <c r="P251" i="2"/>
  <c r="Q251" i="2" s="1"/>
  <c r="K251" i="2"/>
  <c r="AF251" i="2" s="1"/>
  <c r="AH250" i="2"/>
  <c r="AG250" i="2"/>
  <c r="AE250" i="2"/>
  <c r="AD250" i="2"/>
  <c r="P250" i="2"/>
  <c r="Q250" i="2" s="1"/>
  <c r="K250" i="2"/>
  <c r="AF250" i="2" s="1"/>
  <c r="AH249" i="2"/>
  <c r="AG249" i="2"/>
  <c r="AE249" i="2"/>
  <c r="AD249" i="2"/>
  <c r="P249" i="2"/>
  <c r="Q249" i="2" s="1"/>
  <c r="K249" i="2"/>
  <c r="AF249" i="2" s="1"/>
  <c r="AH248" i="2"/>
  <c r="AG248" i="2"/>
  <c r="AE248" i="2"/>
  <c r="AD248" i="2"/>
  <c r="P248" i="2"/>
  <c r="Q248" i="2" s="1"/>
  <c r="K248" i="2"/>
  <c r="AF248" i="2" s="1"/>
  <c r="AH247" i="2"/>
  <c r="AG247" i="2"/>
  <c r="AE247" i="2"/>
  <c r="AD247" i="2"/>
  <c r="P247" i="2"/>
  <c r="Q247" i="2" s="1"/>
  <c r="K247" i="2"/>
  <c r="AF247" i="2" s="1"/>
  <c r="AH246" i="2"/>
  <c r="AG246" i="2"/>
  <c r="AE246" i="2"/>
  <c r="AD246" i="2"/>
  <c r="P246" i="2"/>
  <c r="Q246" i="2" s="1"/>
  <c r="K246" i="2"/>
  <c r="AF246" i="2" s="1"/>
  <c r="AH245" i="2"/>
  <c r="AG245" i="2"/>
  <c r="AE245" i="2"/>
  <c r="AD245" i="2"/>
  <c r="P245" i="2"/>
  <c r="Q245" i="2" s="1"/>
  <c r="K245" i="2"/>
  <c r="AF245" i="2" s="1"/>
  <c r="AH244" i="2"/>
  <c r="AG244" i="2"/>
  <c r="AE244" i="2"/>
  <c r="AD244" i="2"/>
  <c r="P244" i="2"/>
  <c r="Q244" i="2" s="1"/>
  <c r="K244" i="2"/>
  <c r="AF244" i="2" s="1"/>
  <c r="AH243" i="2"/>
  <c r="AG243" i="2"/>
  <c r="AE243" i="2"/>
  <c r="AD243" i="2"/>
  <c r="N243" i="2"/>
  <c r="K243" i="2"/>
  <c r="AF243" i="2" s="1"/>
  <c r="AH242" i="2"/>
  <c r="AG242" i="2"/>
  <c r="AE242" i="2"/>
  <c r="AD242" i="2"/>
  <c r="P242" i="2"/>
  <c r="Q242" i="2" s="1"/>
  <c r="K242" i="2"/>
  <c r="AF242" i="2" s="1"/>
  <c r="AH241" i="2"/>
  <c r="AG241" i="2"/>
  <c r="AE241" i="2"/>
  <c r="AD241" i="2"/>
  <c r="P241" i="2"/>
  <c r="Q241" i="2" s="1"/>
  <c r="K241" i="2"/>
  <c r="AF241" i="2" s="1"/>
  <c r="AH240" i="2"/>
  <c r="AG240" i="2"/>
  <c r="AE240" i="2"/>
  <c r="AD240" i="2"/>
  <c r="P240" i="2"/>
  <c r="Q240" i="2" s="1"/>
  <c r="K240" i="2"/>
  <c r="AF240" i="2" s="1"/>
  <c r="AH239" i="2"/>
  <c r="AG239" i="2"/>
  <c r="AE239" i="2"/>
  <c r="AD239" i="2"/>
  <c r="P239" i="2"/>
  <c r="Q239" i="2" s="1"/>
  <c r="K239" i="2"/>
  <c r="AF239" i="2" s="1"/>
  <c r="AH238" i="2"/>
  <c r="AG238" i="2"/>
  <c r="AE238" i="2"/>
  <c r="AD238" i="2"/>
  <c r="P238" i="2"/>
  <c r="Q238" i="2" s="1"/>
  <c r="K238" i="2"/>
  <c r="AF238" i="2" s="1"/>
  <c r="AH236" i="2"/>
  <c r="AG236" i="2"/>
  <c r="AE236" i="2"/>
  <c r="AD236" i="2"/>
  <c r="P236" i="2"/>
  <c r="Q236" i="2" s="1"/>
  <c r="AF236" i="2"/>
  <c r="AH235" i="2"/>
  <c r="AG235" i="2"/>
  <c r="AE235" i="2"/>
  <c r="AD235" i="2"/>
  <c r="P235" i="2"/>
  <c r="Q235" i="2" s="1"/>
  <c r="K235" i="2"/>
  <c r="AF235" i="2" s="1"/>
  <c r="AH234" i="2"/>
  <c r="AG234" i="2"/>
  <c r="AE234" i="2"/>
  <c r="AD234" i="2"/>
  <c r="P234" i="2"/>
  <c r="Q234" i="2" s="1"/>
  <c r="K234" i="2"/>
  <c r="AF234" i="2" s="1"/>
  <c r="AH233" i="2"/>
  <c r="AG233" i="2"/>
  <c r="AE233" i="2"/>
  <c r="AD233" i="2"/>
  <c r="P233" i="2"/>
  <c r="Q233" i="2" s="1"/>
  <c r="K233" i="2"/>
  <c r="AF233" i="2" s="1"/>
  <c r="X232" i="2"/>
  <c r="Y232" i="2" s="1"/>
  <c r="X231" i="2"/>
  <c r="Y231" i="2" s="1"/>
  <c r="Z230" i="2"/>
  <c r="S230" i="2"/>
  <c r="AH215" i="2"/>
  <c r="AG215" i="2"/>
  <c r="AE215" i="2"/>
  <c r="AD215" i="2"/>
  <c r="P215" i="2"/>
  <c r="Q215" i="2" s="1"/>
  <c r="K215" i="2"/>
  <c r="AF215" i="2" s="1"/>
  <c r="AH213" i="2"/>
  <c r="AG213" i="2"/>
  <c r="AE213" i="2"/>
  <c r="AD213" i="2"/>
  <c r="P213" i="2"/>
  <c r="Q213" i="2" s="1"/>
  <c r="K213" i="2"/>
  <c r="AF213" i="2" s="1"/>
  <c r="AH212" i="2"/>
  <c r="AG212" i="2"/>
  <c r="AE212" i="2"/>
  <c r="AD212" i="2"/>
  <c r="P212" i="2"/>
  <c r="Q212" i="2" s="1"/>
  <c r="K212" i="2"/>
  <c r="AF212" i="2" s="1"/>
  <c r="AH211" i="2"/>
  <c r="AG211" i="2"/>
  <c r="AE211" i="2"/>
  <c r="AD211" i="2"/>
  <c r="N211" i="2"/>
  <c r="P211" i="2" s="1"/>
  <c r="Q211" i="2" s="1"/>
  <c r="K211" i="2"/>
  <c r="AF211" i="2" s="1"/>
  <c r="AH209" i="2"/>
  <c r="AG209" i="2"/>
  <c r="AE209" i="2"/>
  <c r="AD209" i="2"/>
  <c r="P209" i="2"/>
  <c r="Q209" i="2" s="1"/>
  <c r="K209" i="2"/>
  <c r="AF209" i="2" s="1"/>
  <c r="AH208" i="2"/>
  <c r="AG208" i="2"/>
  <c r="AE208" i="2"/>
  <c r="AD208" i="2"/>
  <c r="P208" i="2"/>
  <c r="Q208" i="2" s="1"/>
  <c r="K208" i="2"/>
  <c r="AF208" i="2" s="1"/>
  <c r="AH207" i="2"/>
  <c r="AG207" i="2"/>
  <c r="AE207" i="2"/>
  <c r="AD207" i="2"/>
  <c r="P207" i="2"/>
  <c r="Q207" i="2" s="1"/>
  <c r="K207" i="2"/>
  <c r="AF207" i="2" s="1"/>
  <c r="AH205" i="2"/>
  <c r="AG205" i="2"/>
  <c r="AE205" i="2"/>
  <c r="AD205" i="2"/>
  <c r="N205" i="2"/>
  <c r="P205" i="2" s="1"/>
  <c r="Q205" i="2" s="1"/>
  <c r="K205" i="2"/>
  <c r="AF205" i="2" s="1"/>
  <c r="AH204" i="2"/>
  <c r="AG204" i="2"/>
  <c r="AE204" i="2"/>
  <c r="AD204" i="2"/>
  <c r="N204" i="2"/>
  <c r="P204" i="2" s="1"/>
  <c r="Q204" i="2" s="1"/>
  <c r="K204" i="2"/>
  <c r="AF204" i="2" s="1"/>
  <c r="AH202" i="2"/>
  <c r="AG202" i="2"/>
  <c r="AE202" i="2"/>
  <c r="AD202" i="2"/>
  <c r="N202" i="2"/>
  <c r="P202" i="2" s="1"/>
  <c r="Q202" i="2" s="1"/>
  <c r="K202" i="2"/>
  <c r="AF202" i="2" s="1"/>
  <c r="AH201" i="2"/>
  <c r="AG201" i="2"/>
  <c r="AE201" i="2"/>
  <c r="AD201" i="2"/>
  <c r="N201" i="2"/>
  <c r="P201" i="2" s="1"/>
  <c r="Q201" i="2" s="1"/>
  <c r="K201" i="2"/>
  <c r="AF201" i="2" s="1"/>
  <c r="AH200" i="2"/>
  <c r="AG200" i="2"/>
  <c r="AE200" i="2"/>
  <c r="AD200" i="2"/>
  <c r="P200" i="2"/>
  <c r="Q200" i="2" s="1"/>
  <c r="K200" i="2"/>
  <c r="AF200" i="2" s="1"/>
  <c r="AH199" i="2"/>
  <c r="AG199" i="2"/>
  <c r="AE199" i="2"/>
  <c r="AD199" i="2"/>
  <c r="P199" i="2"/>
  <c r="Q199" i="2" s="1"/>
  <c r="K199" i="2"/>
  <c r="AF199" i="2" s="1"/>
  <c r="AH197" i="2"/>
  <c r="AG197" i="2"/>
  <c r="AE197" i="2"/>
  <c r="AD197" i="2"/>
  <c r="N197" i="2"/>
  <c r="P197" i="2" s="1"/>
  <c r="Q197" i="2" s="1"/>
  <c r="K197" i="2"/>
  <c r="AF197" i="2" s="1"/>
  <c r="AH196" i="2"/>
  <c r="AG196" i="2"/>
  <c r="AE196" i="2"/>
  <c r="AD196" i="2"/>
  <c r="N196" i="2"/>
  <c r="P196" i="2" s="1"/>
  <c r="Q196" i="2" s="1"/>
  <c r="K196" i="2"/>
  <c r="AF196" i="2" s="1"/>
  <c r="AH195" i="2"/>
  <c r="AG195" i="2"/>
  <c r="AF195" i="2"/>
  <c r="AE195" i="2"/>
  <c r="AD195" i="2"/>
  <c r="AH194" i="2"/>
  <c r="AG194" i="2"/>
  <c r="AE194" i="2"/>
  <c r="AD194" i="2"/>
  <c r="P194" i="2"/>
  <c r="Q194" i="2" s="1"/>
  <c r="K194" i="2"/>
  <c r="AF194" i="2" s="1"/>
  <c r="AH193" i="2"/>
  <c r="AG193" i="2"/>
  <c r="AE193" i="2"/>
  <c r="AD193" i="2"/>
  <c r="P193" i="2"/>
  <c r="Q193" i="2" s="1"/>
  <c r="K193" i="2"/>
  <c r="AF193" i="2" s="1"/>
  <c r="T192" i="2"/>
  <c r="X192" i="2" s="1"/>
  <c r="Y192" i="2" s="1"/>
  <c r="AH191" i="2"/>
  <c r="AG191" i="2"/>
  <c r="AE191" i="2"/>
  <c r="AD191" i="2"/>
  <c r="N191" i="2"/>
  <c r="P191" i="2" s="1"/>
  <c r="Q191" i="2" s="1"/>
  <c r="K191" i="2"/>
  <c r="AF191" i="2" s="1"/>
  <c r="AH190" i="2"/>
  <c r="AG190" i="2"/>
  <c r="AE190" i="2"/>
  <c r="AD190" i="2"/>
  <c r="P190" i="2"/>
  <c r="Q190" i="2" s="1"/>
  <c r="K190" i="2"/>
  <c r="AF190" i="2" s="1"/>
  <c r="AH189" i="2"/>
  <c r="AG189" i="2"/>
  <c r="AE189" i="2"/>
  <c r="AD189" i="2"/>
  <c r="P189" i="2"/>
  <c r="Q189" i="2" s="1"/>
  <c r="K189" i="2"/>
  <c r="AF189" i="2" s="1"/>
  <c r="AH188" i="2"/>
  <c r="AG188" i="2"/>
  <c r="AE188" i="2"/>
  <c r="AD188" i="2"/>
  <c r="N188" i="2"/>
  <c r="P188" i="2" s="1"/>
  <c r="Q188" i="2" s="1"/>
  <c r="K188" i="2"/>
  <c r="AF188" i="2" s="1"/>
  <c r="AH187" i="2"/>
  <c r="AG187" i="2"/>
  <c r="AE187" i="2"/>
  <c r="AD187" i="2"/>
  <c r="P187" i="2"/>
  <c r="Q187" i="2" s="1"/>
  <c r="K187" i="2"/>
  <c r="AF187" i="2" s="1"/>
  <c r="AH186" i="2"/>
  <c r="AG186" i="2"/>
  <c r="AF186" i="2"/>
  <c r="P186" i="2"/>
  <c r="AH185" i="2"/>
  <c r="AG185" i="2"/>
  <c r="AE185" i="2"/>
  <c r="AD185" i="2"/>
  <c r="P185" i="2"/>
  <c r="Q185" i="2" s="1"/>
  <c r="K185" i="2"/>
  <c r="AF185" i="2" s="1"/>
  <c r="AH184" i="2"/>
  <c r="AG184" i="2"/>
  <c r="AE184" i="2"/>
  <c r="AD184" i="2"/>
  <c r="P184" i="2"/>
  <c r="Q184" i="2" s="1"/>
  <c r="K184" i="2"/>
  <c r="AF184" i="2" s="1"/>
  <c r="AH183" i="2"/>
  <c r="AG183" i="2"/>
  <c r="AE183" i="2"/>
  <c r="AD183" i="2"/>
  <c r="P183" i="2"/>
  <c r="Q183" i="2" s="1"/>
  <c r="K183" i="2"/>
  <c r="AF183" i="2" s="1"/>
  <c r="AH182" i="2"/>
  <c r="AG182" i="2"/>
  <c r="AF182" i="2"/>
  <c r="P182" i="2"/>
  <c r="AH181" i="2"/>
  <c r="AG181" i="2"/>
  <c r="AE181" i="2"/>
  <c r="AD181" i="2"/>
  <c r="N181" i="2"/>
  <c r="K181" i="2"/>
  <c r="AF181" i="2" s="1"/>
  <c r="AH180" i="2"/>
  <c r="AG180" i="2"/>
  <c r="AE180" i="2"/>
  <c r="AD180" i="2"/>
  <c r="P180" i="2"/>
  <c r="Q180" i="2" s="1"/>
  <c r="K180" i="2"/>
  <c r="AF180" i="2" s="1"/>
  <c r="AH521" i="2"/>
  <c r="AG521" i="2"/>
  <c r="AE521" i="2"/>
  <c r="AD521" i="2"/>
  <c r="P521" i="2"/>
  <c r="Q521" i="2" s="1"/>
  <c r="K521" i="2"/>
  <c r="AF521" i="2" s="1"/>
  <c r="X179" i="2"/>
  <c r="Y179" i="2" s="1"/>
  <c r="AH178" i="2"/>
  <c r="AG178" i="2"/>
  <c r="AE178" i="2"/>
  <c r="AD178" i="2"/>
  <c r="P178" i="2"/>
  <c r="Q178" i="2" s="1"/>
  <c r="K178" i="2"/>
  <c r="AF178" i="2" s="1"/>
  <c r="AH177" i="2"/>
  <c r="AG177" i="2"/>
  <c r="AE177" i="2"/>
  <c r="AD177" i="2"/>
  <c r="P177" i="2"/>
  <c r="Q177" i="2" s="1"/>
  <c r="K177" i="2"/>
  <c r="AF177" i="2" s="1"/>
  <c r="AH176" i="2"/>
  <c r="AG176" i="2"/>
  <c r="AE176" i="2"/>
  <c r="AD176" i="2"/>
  <c r="P176" i="2"/>
  <c r="Q176" i="2" s="1"/>
  <c r="K176" i="2"/>
  <c r="AF176" i="2" s="1"/>
  <c r="AH175" i="2"/>
  <c r="AG175" i="2"/>
  <c r="AE175" i="2"/>
  <c r="AD175" i="2"/>
  <c r="P175" i="2"/>
  <c r="Q175" i="2" s="1"/>
  <c r="K175" i="2"/>
  <c r="AF175" i="2" s="1"/>
  <c r="AH174" i="2"/>
  <c r="AG174" i="2"/>
  <c r="AE174" i="2"/>
  <c r="AD174" i="2"/>
  <c r="P174" i="2"/>
  <c r="Q174" i="2" s="1"/>
  <c r="K174" i="2"/>
  <c r="AF174" i="2" s="1"/>
  <c r="AH172" i="2"/>
  <c r="AG172" i="2"/>
  <c r="AE172" i="2"/>
  <c r="AD172" i="2"/>
  <c r="P172" i="2"/>
  <c r="Q172" i="2" s="1"/>
  <c r="K172" i="2"/>
  <c r="AF172" i="2" s="1"/>
  <c r="AH171" i="2"/>
  <c r="AG171" i="2"/>
  <c r="AE171" i="2"/>
  <c r="AD171" i="2"/>
  <c r="P171" i="2"/>
  <c r="Q171" i="2" s="1"/>
  <c r="K171" i="2"/>
  <c r="AF171" i="2" s="1"/>
  <c r="AH170" i="2"/>
  <c r="AG170" i="2"/>
  <c r="AE170" i="2"/>
  <c r="AD170" i="2"/>
  <c r="P170" i="2"/>
  <c r="Q170" i="2" s="1"/>
  <c r="K170" i="2"/>
  <c r="AF170" i="2" s="1"/>
  <c r="AH169" i="2"/>
  <c r="AG169" i="2"/>
  <c r="AE169" i="2"/>
  <c r="AD169" i="2"/>
  <c r="P169" i="2"/>
  <c r="Q169" i="2" s="1"/>
  <c r="K169" i="2"/>
  <c r="AF169" i="2" s="1"/>
  <c r="AH168" i="2"/>
  <c r="AG168" i="2"/>
  <c r="AE168" i="2"/>
  <c r="AD168" i="2"/>
  <c r="P168" i="2"/>
  <c r="Q168" i="2" s="1"/>
  <c r="K168" i="2"/>
  <c r="AF168" i="2" s="1"/>
  <c r="AH167" i="2"/>
  <c r="AG167" i="2"/>
  <c r="AE167" i="2"/>
  <c r="AD167" i="2"/>
  <c r="P167" i="2"/>
  <c r="Q167" i="2" s="1"/>
  <c r="K167" i="2"/>
  <c r="AF167" i="2" s="1"/>
  <c r="AH166" i="2"/>
  <c r="AG166" i="2"/>
  <c r="AE166" i="2"/>
  <c r="AD166" i="2"/>
  <c r="P166" i="2"/>
  <c r="Q166" i="2" s="1"/>
  <c r="K166" i="2"/>
  <c r="AF166" i="2" s="1"/>
  <c r="AH165" i="2"/>
  <c r="AG165" i="2"/>
  <c r="AE165" i="2"/>
  <c r="AD165" i="2"/>
  <c r="P165" i="2"/>
  <c r="Q165" i="2" s="1"/>
  <c r="K165" i="2"/>
  <c r="AF165" i="2" s="1"/>
  <c r="AH164" i="2"/>
  <c r="AG164" i="2"/>
  <c r="AE164" i="2"/>
  <c r="AD164" i="2"/>
  <c r="P164" i="2"/>
  <c r="Q164" i="2" s="1"/>
  <c r="K164" i="2"/>
  <c r="AF164" i="2" s="1"/>
  <c r="AH163" i="2"/>
  <c r="AG163" i="2"/>
  <c r="AE163" i="2"/>
  <c r="AD163" i="2"/>
  <c r="P163" i="2"/>
  <c r="Q163" i="2" s="1"/>
  <c r="K163" i="2"/>
  <c r="AF163" i="2" s="1"/>
  <c r="AH162" i="2"/>
  <c r="AG162" i="2"/>
  <c r="AE162" i="2"/>
  <c r="AD162" i="2"/>
  <c r="P162" i="2"/>
  <c r="Q162" i="2" s="1"/>
  <c r="K162" i="2"/>
  <c r="AF162" i="2" s="1"/>
  <c r="AH161" i="2"/>
  <c r="AG161" i="2"/>
  <c r="AE161" i="2"/>
  <c r="AD161" i="2"/>
  <c r="P161" i="2"/>
  <c r="Q161" i="2" s="1"/>
  <c r="K161" i="2"/>
  <c r="AF161" i="2" s="1"/>
  <c r="AH160" i="2"/>
  <c r="AG160" i="2"/>
  <c r="AE160" i="2"/>
  <c r="AD160" i="2"/>
  <c r="P160" i="2"/>
  <c r="Q160" i="2" s="1"/>
  <c r="K160" i="2"/>
  <c r="AF160" i="2" s="1"/>
  <c r="AH159" i="2"/>
  <c r="AG159" i="2"/>
  <c r="AE159" i="2"/>
  <c r="AD159" i="2"/>
  <c r="P159" i="2"/>
  <c r="Q159" i="2" s="1"/>
  <c r="K159" i="2"/>
  <c r="AF159" i="2" s="1"/>
  <c r="AH158" i="2"/>
  <c r="AG158" i="2"/>
  <c r="AE158" i="2"/>
  <c r="AD158" i="2"/>
  <c r="P158" i="2"/>
  <c r="Q158" i="2" s="1"/>
  <c r="K158" i="2"/>
  <c r="AF158" i="2" s="1"/>
  <c r="AH157" i="2"/>
  <c r="AG157" i="2"/>
  <c r="AE157" i="2"/>
  <c r="AD157" i="2"/>
  <c r="P157" i="2"/>
  <c r="Q157" i="2" s="1"/>
  <c r="K157" i="2"/>
  <c r="AF157" i="2" s="1"/>
  <c r="AH156" i="2"/>
  <c r="AG156" i="2"/>
  <c r="AE156" i="2"/>
  <c r="AD156" i="2"/>
  <c r="P156" i="2"/>
  <c r="Q156" i="2" s="1"/>
  <c r="K156" i="2"/>
  <c r="AF156" i="2" s="1"/>
  <c r="AH155" i="2"/>
  <c r="AG155" i="2"/>
  <c r="AE155" i="2"/>
  <c r="AD155" i="2"/>
  <c r="P155" i="2"/>
  <c r="Q155" i="2" s="1"/>
  <c r="K155" i="2"/>
  <c r="AF155" i="2" s="1"/>
  <c r="AH154" i="2"/>
  <c r="AG154" i="2"/>
  <c r="AE154" i="2"/>
  <c r="AD154" i="2"/>
  <c r="P154" i="2"/>
  <c r="Q154" i="2" s="1"/>
  <c r="K154" i="2"/>
  <c r="AF154" i="2" s="1"/>
  <c r="AH153" i="2"/>
  <c r="AG153" i="2"/>
  <c r="AE153" i="2"/>
  <c r="AD153" i="2"/>
  <c r="P153" i="2"/>
  <c r="Q153" i="2" s="1"/>
  <c r="K153" i="2"/>
  <c r="AF153" i="2" s="1"/>
  <c r="AH152" i="2"/>
  <c r="AG152" i="2"/>
  <c r="AE152" i="2"/>
  <c r="AD152" i="2"/>
  <c r="P152" i="2"/>
  <c r="Q152" i="2" s="1"/>
  <c r="K152" i="2"/>
  <c r="AF152" i="2" s="1"/>
  <c r="AH151" i="2"/>
  <c r="AG151" i="2"/>
  <c r="AE151" i="2"/>
  <c r="AD151" i="2"/>
  <c r="P151" i="2"/>
  <c r="Q151" i="2" s="1"/>
  <c r="K151" i="2"/>
  <c r="AF151" i="2" s="1"/>
  <c r="AH150" i="2"/>
  <c r="AG150" i="2"/>
  <c r="AE150" i="2"/>
  <c r="AD150" i="2"/>
  <c r="P150" i="2"/>
  <c r="Q150" i="2" s="1"/>
  <c r="K150" i="2"/>
  <c r="AF150" i="2" s="1"/>
  <c r="AH149" i="2"/>
  <c r="AG149" i="2"/>
  <c r="AE149" i="2"/>
  <c r="AD149" i="2"/>
  <c r="P149" i="2"/>
  <c r="Q149" i="2" s="1"/>
  <c r="K149" i="2"/>
  <c r="AF149" i="2" s="1"/>
  <c r="AH148" i="2"/>
  <c r="AG148" i="2"/>
  <c r="AE148" i="2"/>
  <c r="AD148" i="2"/>
  <c r="P148" i="2"/>
  <c r="Q148" i="2" s="1"/>
  <c r="K148" i="2"/>
  <c r="AF148" i="2" s="1"/>
  <c r="AH147" i="2"/>
  <c r="AG147" i="2"/>
  <c r="AE147" i="2"/>
  <c r="AD147" i="2"/>
  <c r="P147" i="2"/>
  <c r="Q147" i="2" s="1"/>
  <c r="K147" i="2"/>
  <c r="AF147" i="2" s="1"/>
  <c r="AH146" i="2"/>
  <c r="AG146" i="2"/>
  <c r="AE146" i="2"/>
  <c r="AD146" i="2"/>
  <c r="P146" i="2"/>
  <c r="Q146" i="2" s="1"/>
  <c r="K146" i="2"/>
  <c r="AF146" i="2" s="1"/>
  <c r="AH145" i="2"/>
  <c r="AG145" i="2"/>
  <c r="AE145" i="2"/>
  <c r="AD145" i="2"/>
  <c r="P145" i="2"/>
  <c r="Q145" i="2" s="1"/>
  <c r="K145" i="2"/>
  <c r="AF145" i="2" s="1"/>
  <c r="AH144" i="2"/>
  <c r="AG144" i="2"/>
  <c r="AE144" i="2"/>
  <c r="AD144" i="2"/>
  <c r="P144" i="2"/>
  <c r="Q144" i="2" s="1"/>
  <c r="K144" i="2"/>
  <c r="AF144" i="2" s="1"/>
  <c r="AH143" i="2"/>
  <c r="AG143" i="2"/>
  <c r="AE143" i="2"/>
  <c r="AD143" i="2"/>
  <c r="P143" i="2"/>
  <c r="Q143" i="2" s="1"/>
  <c r="K143" i="2"/>
  <c r="AF143" i="2" s="1"/>
  <c r="AH142" i="2"/>
  <c r="AG142" i="2"/>
  <c r="AE142" i="2"/>
  <c r="AD142" i="2"/>
  <c r="P142" i="2"/>
  <c r="Q142" i="2" s="1"/>
  <c r="K142" i="2"/>
  <c r="AF142" i="2" s="1"/>
  <c r="AH141" i="2"/>
  <c r="AG141" i="2"/>
  <c r="AE141" i="2"/>
  <c r="AD141" i="2"/>
  <c r="P141" i="2"/>
  <c r="Q141" i="2" s="1"/>
  <c r="K141" i="2"/>
  <c r="AF141" i="2" s="1"/>
  <c r="AH140" i="2"/>
  <c r="AG140" i="2"/>
  <c r="AE140" i="2"/>
  <c r="AD140" i="2"/>
  <c r="P140" i="2"/>
  <c r="Q140" i="2" s="1"/>
  <c r="K140" i="2"/>
  <c r="AF140" i="2" s="1"/>
  <c r="AH139" i="2"/>
  <c r="AG139" i="2"/>
  <c r="AE139" i="2"/>
  <c r="AD139" i="2"/>
  <c r="P139" i="2"/>
  <c r="Q139" i="2" s="1"/>
  <c r="K139" i="2"/>
  <c r="AF139" i="2" s="1"/>
  <c r="AH138" i="2"/>
  <c r="AG138" i="2"/>
  <c r="AE138" i="2"/>
  <c r="AD138" i="2"/>
  <c r="P138" i="2"/>
  <c r="Q138" i="2" s="1"/>
  <c r="K138" i="2"/>
  <c r="AF138" i="2" s="1"/>
  <c r="AH137" i="2"/>
  <c r="AG137" i="2"/>
  <c r="AE137" i="2"/>
  <c r="AD137" i="2"/>
  <c r="P137" i="2"/>
  <c r="Q137" i="2" s="1"/>
  <c r="K137" i="2"/>
  <c r="AF137" i="2" s="1"/>
  <c r="AH136" i="2"/>
  <c r="AG136" i="2"/>
  <c r="AE136" i="2"/>
  <c r="AD136" i="2"/>
  <c r="P136" i="2"/>
  <c r="Q136" i="2" s="1"/>
  <c r="K136" i="2"/>
  <c r="AF136" i="2" s="1"/>
  <c r="AH135" i="2"/>
  <c r="AG135" i="2"/>
  <c r="AE135" i="2"/>
  <c r="AD135" i="2"/>
  <c r="P135" i="2"/>
  <c r="Q135" i="2" s="1"/>
  <c r="K135" i="2"/>
  <c r="AF135" i="2" s="1"/>
  <c r="AH134" i="2"/>
  <c r="AG134" i="2"/>
  <c r="AE134" i="2"/>
  <c r="AD134" i="2"/>
  <c r="P134" i="2"/>
  <c r="Q134" i="2" s="1"/>
  <c r="K134" i="2"/>
  <c r="AF134" i="2" s="1"/>
  <c r="AH133" i="2"/>
  <c r="AG133" i="2"/>
  <c r="AE133" i="2"/>
  <c r="AD133" i="2"/>
  <c r="P133" i="2"/>
  <c r="Q133" i="2" s="1"/>
  <c r="K133" i="2"/>
  <c r="AF133" i="2" s="1"/>
  <c r="AH132" i="2"/>
  <c r="AG132" i="2"/>
  <c r="AE132" i="2"/>
  <c r="AD132" i="2"/>
  <c r="P132" i="2"/>
  <c r="Q132" i="2" s="1"/>
  <c r="K132" i="2"/>
  <c r="AF132" i="2" s="1"/>
  <c r="AH131" i="2"/>
  <c r="AG131" i="2"/>
  <c r="AE131" i="2"/>
  <c r="AD131" i="2"/>
  <c r="P131" i="2"/>
  <c r="Q131" i="2" s="1"/>
  <c r="K131" i="2"/>
  <c r="AF131" i="2" s="1"/>
  <c r="AH130" i="2"/>
  <c r="AG130" i="2"/>
  <c r="AE130" i="2"/>
  <c r="AD130" i="2"/>
  <c r="P130" i="2"/>
  <c r="Q130" i="2" s="1"/>
  <c r="K130" i="2"/>
  <c r="AF130" i="2" s="1"/>
  <c r="AH129" i="2"/>
  <c r="AG129" i="2"/>
  <c r="AE129" i="2"/>
  <c r="AD129" i="2"/>
  <c r="P129" i="2"/>
  <c r="Q129" i="2" s="1"/>
  <c r="K129" i="2"/>
  <c r="AF129" i="2" s="1"/>
  <c r="AH128" i="2"/>
  <c r="AG128" i="2"/>
  <c r="AE128" i="2"/>
  <c r="AD128" i="2"/>
  <c r="P128" i="2"/>
  <c r="Q128" i="2" s="1"/>
  <c r="K128" i="2"/>
  <c r="AF128" i="2" s="1"/>
  <c r="AH127" i="2"/>
  <c r="AG127" i="2"/>
  <c r="AE127" i="2"/>
  <c r="AD127" i="2"/>
  <c r="P127" i="2"/>
  <c r="Q127" i="2" s="1"/>
  <c r="K127" i="2"/>
  <c r="AF127" i="2" s="1"/>
  <c r="AH126" i="2"/>
  <c r="AG126" i="2"/>
  <c r="AE126" i="2"/>
  <c r="AD126" i="2"/>
  <c r="P126" i="2"/>
  <c r="Q126" i="2" s="1"/>
  <c r="K126" i="2"/>
  <c r="AF126" i="2" s="1"/>
  <c r="AH125" i="2"/>
  <c r="AG125" i="2"/>
  <c r="AE125" i="2"/>
  <c r="AD125" i="2"/>
  <c r="P125" i="2"/>
  <c r="Q125" i="2" s="1"/>
  <c r="K125" i="2"/>
  <c r="AF125" i="2" s="1"/>
  <c r="AH124" i="2"/>
  <c r="AG124" i="2"/>
  <c r="AE124" i="2"/>
  <c r="AD124" i="2"/>
  <c r="P124" i="2"/>
  <c r="Q124" i="2" s="1"/>
  <c r="K124" i="2"/>
  <c r="AF124" i="2" s="1"/>
  <c r="AH123" i="2"/>
  <c r="AG123" i="2"/>
  <c r="AE123" i="2"/>
  <c r="AD123" i="2"/>
  <c r="P123" i="2"/>
  <c r="Q123" i="2" s="1"/>
  <c r="K123" i="2"/>
  <c r="AF123" i="2" s="1"/>
  <c r="AH122" i="2"/>
  <c r="AG122" i="2"/>
  <c r="AE122" i="2"/>
  <c r="AD122" i="2"/>
  <c r="P122" i="2"/>
  <c r="K122" i="2"/>
  <c r="AF122" i="2" s="1"/>
  <c r="AH520" i="2"/>
  <c r="AG520" i="2"/>
  <c r="AE520" i="2"/>
  <c r="AD520" i="2"/>
  <c r="P520" i="2"/>
  <c r="Q520" i="2" s="1"/>
  <c r="K520" i="2"/>
  <c r="AF520" i="2" s="1"/>
  <c r="AH519" i="2"/>
  <c r="AG519" i="2"/>
  <c r="AE519" i="2"/>
  <c r="AD519" i="2"/>
  <c r="P519" i="2"/>
  <c r="Q519" i="2" s="1"/>
  <c r="K519" i="2"/>
  <c r="AF519" i="2" s="1"/>
  <c r="AH518" i="2"/>
  <c r="AG518" i="2"/>
  <c r="AE518" i="2"/>
  <c r="AD518" i="2"/>
  <c r="P518" i="2"/>
  <c r="Q518" i="2" s="1"/>
  <c r="K518" i="2"/>
  <c r="AF518" i="2" s="1"/>
  <c r="AH517" i="2"/>
  <c r="AG517" i="2"/>
  <c r="AE517" i="2"/>
  <c r="AD517" i="2"/>
  <c r="P517" i="2"/>
  <c r="Q517" i="2" s="1"/>
  <c r="K517" i="2"/>
  <c r="AF517" i="2" s="1"/>
  <c r="AH121" i="2"/>
  <c r="AG121" i="2"/>
  <c r="AH95" i="2"/>
  <c r="AG95" i="2"/>
  <c r="AE95" i="2"/>
  <c r="AD95" i="2"/>
  <c r="N95" i="2"/>
  <c r="K95" i="2"/>
  <c r="AF95" i="2" s="1"/>
  <c r="AH94" i="2"/>
  <c r="AG94" i="2"/>
  <c r="AE94" i="2"/>
  <c r="AD94" i="2"/>
  <c r="S94" i="2"/>
  <c r="S102" i="2" s="1"/>
  <c r="N94" i="2"/>
  <c r="K94" i="2"/>
  <c r="AF94" i="2" s="1"/>
  <c r="AH93" i="2"/>
  <c r="AG93" i="2"/>
  <c r="AE93" i="2"/>
  <c r="AD93" i="2"/>
  <c r="P93" i="2"/>
  <c r="K93" i="2"/>
  <c r="AF93" i="2" s="1"/>
  <c r="AH92" i="2"/>
  <c r="AG92" i="2"/>
  <c r="AE92" i="2"/>
  <c r="AD92" i="2"/>
  <c r="N92" i="2"/>
  <c r="K92" i="2"/>
  <c r="AF92" i="2" s="1"/>
  <c r="AH537" i="2"/>
  <c r="AG537" i="2"/>
  <c r="AE537" i="2"/>
  <c r="AD537" i="2"/>
  <c r="P537" i="2"/>
  <c r="K537" i="2"/>
  <c r="AF537" i="2" s="1"/>
  <c r="N90" i="2"/>
  <c r="Z86" i="2"/>
  <c r="W86" i="2"/>
  <c r="U86" i="2"/>
  <c r="S86" i="2"/>
  <c r="AH79" i="2"/>
  <c r="AG79" i="2"/>
  <c r="AE79" i="2"/>
  <c r="AD79" i="2"/>
  <c r="N79" i="2"/>
  <c r="P79" i="2" s="1"/>
  <c r="K79" i="2"/>
  <c r="AF79" i="2" s="1"/>
  <c r="AH78" i="2"/>
  <c r="AG78" i="2"/>
  <c r="AE78" i="2"/>
  <c r="AD78" i="2"/>
  <c r="N78" i="2"/>
  <c r="K78" i="2"/>
  <c r="AF78" i="2" s="1"/>
  <c r="AH77" i="2"/>
  <c r="AG77" i="2"/>
  <c r="AE77" i="2"/>
  <c r="AD77" i="2"/>
  <c r="P77" i="2"/>
  <c r="K77" i="2"/>
  <c r="AF77" i="2" s="1"/>
  <c r="AH76" i="2"/>
  <c r="AG76" i="2"/>
  <c r="AE76" i="2"/>
  <c r="AD76" i="2"/>
  <c r="P76" i="2"/>
  <c r="K76" i="2"/>
  <c r="AF76" i="2" s="1"/>
  <c r="AH75" i="2"/>
  <c r="AG75" i="2"/>
  <c r="AE75" i="2"/>
  <c r="AD75" i="2"/>
  <c r="P75" i="2"/>
  <c r="K75" i="2"/>
  <c r="AF75" i="2" s="1"/>
  <c r="AH74" i="2"/>
  <c r="AG74" i="2"/>
  <c r="AE74" i="2"/>
  <c r="AD74" i="2"/>
  <c r="P74" i="2"/>
  <c r="K74" i="2"/>
  <c r="AF74" i="2" s="1"/>
  <c r="AH73" i="2"/>
  <c r="AG73" i="2"/>
  <c r="AE73" i="2"/>
  <c r="AD73" i="2"/>
  <c r="P73" i="2"/>
  <c r="K73" i="2"/>
  <c r="AF73" i="2" s="1"/>
  <c r="AH72" i="2"/>
  <c r="AG72" i="2"/>
  <c r="AE72" i="2"/>
  <c r="AD72" i="2"/>
  <c r="P72" i="2"/>
  <c r="AF72" i="2"/>
  <c r="S52" i="2"/>
  <c r="AH45" i="2"/>
  <c r="AG45" i="2"/>
  <c r="AE45" i="2"/>
  <c r="AD45" i="2"/>
  <c r="N45" i="2"/>
  <c r="P45" i="2" s="1"/>
  <c r="Q45" i="2" s="1"/>
  <c r="K45" i="2"/>
  <c r="AF45" i="2" s="1"/>
  <c r="AH44" i="2"/>
  <c r="AG44" i="2"/>
  <c r="AE44" i="2"/>
  <c r="AD44" i="2"/>
  <c r="N44" i="2"/>
  <c r="P44" i="2" s="1"/>
  <c r="K44" i="2"/>
  <c r="AF44" i="2" s="1"/>
  <c r="AH43" i="2"/>
  <c r="AG43" i="2"/>
  <c r="AE43" i="2"/>
  <c r="AD43" i="2"/>
  <c r="N43" i="2"/>
  <c r="P43" i="2" s="1"/>
  <c r="K43" i="2"/>
  <c r="AF43" i="2" s="1"/>
  <c r="AH42" i="2"/>
  <c r="AG42" i="2"/>
  <c r="AE42" i="2"/>
  <c r="AD42" i="2"/>
  <c r="P42" i="2"/>
  <c r="K42" i="2"/>
  <c r="AF42" i="2" s="1"/>
  <c r="AH41" i="2"/>
  <c r="AG41" i="2"/>
  <c r="AE41" i="2"/>
  <c r="AD41" i="2"/>
  <c r="N41" i="2"/>
  <c r="P41" i="2" s="1"/>
  <c r="K41" i="2"/>
  <c r="AF41" i="2" s="1"/>
  <c r="AH40" i="2"/>
  <c r="AG40" i="2"/>
  <c r="AE40" i="2"/>
  <c r="AD40" i="2"/>
  <c r="N40" i="2"/>
  <c r="K40" i="2"/>
  <c r="AF40" i="2" s="1"/>
  <c r="Z37" i="2"/>
  <c r="W37" i="2"/>
  <c r="U37" i="2"/>
  <c r="AH25" i="2"/>
  <c r="AG25" i="2"/>
  <c r="AE25" i="2"/>
  <c r="AD25" i="2"/>
  <c r="P25" i="2"/>
  <c r="K25" i="2"/>
  <c r="AF25" i="2" s="1"/>
  <c r="AH24" i="2"/>
  <c r="AG24" i="2"/>
  <c r="AE24" i="2"/>
  <c r="AD24" i="2"/>
  <c r="N24" i="2"/>
  <c r="P24" i="2" s="1"/>
  <c r="K24" i="2"/>
  <c r="AF24" i="2" s="1"/>
  <c r="AH23" i="2"/>
  <c r="AG23" i="2"/>
  <c r="AE23" i="2"/>
  <c r="AD23" i="2"/>
  <c r="P23" i="2"/>
  <c r="K23" i="2"/>
  <c r="AF23" i="2" s="1"/>
  <c r="AH22" i="2"/>
  <c r="AG22" i="2"/>
  <c r="AE22" i="2"/>
  <c r="AD22" i="2"/>
  <c r="P22" i="2"/>
  <c r="K22" i="2"/>
  <c r="AF22" i="2" s="1"/>
  <c r="AH532" i="2"/>
  <c r="AG532" i="2"/>
  <c r="AE532" i="2"/>
  <c r="AD532" i="2"/>
  <c r="P532" i="2"/>
  <c r="Q532" i="2" s="1"/>
  <c r="K532" i="2"/>
  <c r="AF532" i="2" s="1"/>
  <c r="AH21" i="2"/>
  <c r="AG21" i="2"/>
  <c r="AE21" i="2"/>
  <c r="AD21" i="2"/>
  <c r="P21" i="2"/>
  <c r="K21" i="2"/>
  <c r="AF21" i="2" s="1"/>
  <c r="AH541" i="2"/>
  <c r="AG541" i="2"/>
  <c r="AE541" i="2"/>
  <c r="AD541" i="2"/>
  <c r="P541" i="2"/>
  <c r="Q541" i="2" s="1"/>
  <c r="K541" i="2"/>
  <c r="AF541" i="2" s="1"/>
  <c r="AH20" i="2"/>
  <c r="AG20" i="2"/>
  <c r="AE20" i="2"/>
  <c r="AD20" i="2"/>
  <c r="P20" i="2"/>
  <c r="K20" i="2"/>
  <c r="AF20" i="2" s="1"/>
  <c r="AH19" i="2"/>
  <c r="AG19" i="2"/>
  <c r="AE19" i="2"/>
  <c r="AD19" i="2"/>
  <c r="P19" i="2"/>
  <c r="K19" i="2"/>
  <c r="AF19" i="2" s="1"/>
  <c r="AH536" i="2"/>
  <c r="AG536" i="2"/>
  <c r="AE536" i="2"/>
  <c r="AD536" i="2"/>
  <c r="P536" i="2"/>
  <c r="Q536" i="2" s="1"/>
  <c r="K536" i="2"/>
  <c r="AF536" i="2" s="1"/>
  <c r="AH18" i="2"/>
  <c r="AG18" i="2"/>
  <c r="AE18" i="2"/>
  <c r="AD18" i="2"/>
  <c r="P18" i="2"/>
  <c r="K18" i="2"/>
  <c r="AF18" i="2" s="1"/>
  <c r="AH14" i="2"/>
  <c r="AG14" i="2"/>
  <c r="AE14" i="2"/>
  <c r="AD14" i="2"/>
  <c r="N14" i="2"/>
  <c r="K14" i="2"/>
  <c r="AF14" i="2" s="1"/>
  <c r="AH91" i="2"/>
  <c r="AG91" i="2"/>
  <c r="AE91" i="2"/>
  <c r="AD91" i="2"/>
  <c r="N91" i="2"/>
  <c r="P91" i="2" s="1"/>
  <c r="K91" i="2"/>
  <c r="AF91" i="2" s="1"/>
  <c r="AH13" i="2"/>
  <c r="AG13" i="2"/>
  <c r="AE13" i="2"/>
  <c r="AD13" i="2"/>
  <c r="P13" i="2"/>
  <c r="K13" i="2"/>
  <c r="AF13" i="2" s="1"/>
  <c r="AH12" i="2"/>
  <c r="AG12" i="2"/>
  <c r="AE12" i="2"/>
  <c r="AD12" i="2"/>
  <c r="P12" i="2"/>
  <c r="Q12" i="2" s="1"/>
  <c r="K12" i="2"/>
  <c r="AF12" i="2" s="1"/>
  <c r="AH11" i="2"/>
  <c r="AG11" i="2"/>
  <c r="AE11" i="2"/>
  <c r="AD11" i="2"/>
  <c r="N11" i="2"/>
  <c r="N37" i="2" s="1"/>
  <c r="K11" i="2"/>
  <c r="AH527" i="2"/>
  <c r="AG527" i="2"/>
  <c r="AE527" i="2"/>
  <c r="AD527" i="2"/>
  <c r="S527" i="2"/>
  <c r="S37" i="2" s="1"/>
  <c r="N527" i="2"/>
  <c r="P527" i="2" s="1"/>
  <c r="K527" i="2"/>
  <c r="AF527" i="2" s="1"/>
  <c r="AC10" i="2"/>
  <c r="AB10" i="2"/>
  <c r="Y10" i="2"/>
  <c r="AA10" i="2"/>
  <c r="S61" i="4" l="1"/>
  <c r="Q421" i="2"/>
  <c r="M444" i="4"/>
  <c r="T444" i="4" s="1"/>
  <c r="P14" i="2"/>
  <c r="W504" i="2"/>
  <c r="Q425" i="2"/>
  <c r="M451" i="4"/>
  <c r="T451" i="4" s="1"/>
  <c r="Q91" i="2"/>
  <c r="M41" i="4"/>
  <c r="T41" i="4" s="1"/>
  <c r="M62" i="4"/>
  <c r="N61" i="4"/>
  <c r="O61" i="4" s="1"/>
  <c r="P61" i="4" s="1"/>
  <c r="Q42" i="2"/>
  <c r="Q44" i="2"/>
  <c r="R44" i="2" s="1"/>
  <c r="T44" i="2" s="1"/>
  <c r="X44" i="2" s="1"/>
  <c r="Y44" i="2" s="1"/>
  <c r="AA44" i="2" s="1"/>
  <c r="M58" i="4"/>
  <c r="T58" i="4" s="1"/>
  <c r="AJ90" i="2"/>
  <c r="AL90" i="2" s="1"/>
  <c r="M104" i="4"/>
  <c r="P92" i="2"/>
  <c r="P94" i="2"/>
  <c r="AJ94" i="2" s="1"/>
  <c r="Q13" i="2"/>
  <c r="M145" i="4"/>
  <c r="T145" i="4" s="1"/>
  <c r="Q20" i="2"/>
  <c r="M575" i="4"/>
  <c r="Q21" i="2"/>
  <c r="M563" i="4"/>
  <c r="Q22" i="2"/>
  <c r="M107" i="4"/>
  <c r="T107" i="4" s="1"/>
  <c r="Q24" i="2"/>
  <c r="M128" i="4"/>
  <c r="T128" i="4" s="1"/>
  <c r="Q72" i="2"/>
  <c r="Q74" i="2"/>
  <c r="Q76" i="2"/>
  <c r="M136" i="4"/>
  <c r="T136" i="4" s="1"/>
  <c r="S119" i="2"/>
  <c r="Q41" i="2"/>
  <c r="M53" i="4"/>
  <c r="T53" i="4" s="1"/>
  <c r="Q43" i="2"/>
  <c r="M56" i="4"/>
  <c r="T56" i="4" s="1"/>
  <c r="Q93" i="2"/>
  <c r="M598" i="4"/>
  <c r="T598" i="4" s="1"/>
  <c r="Q18" i="2"/>
  <c r="M19" i="4"/>
  <c r="T19" i="4" s="1"/>
  <c r="Q19" i="2"/>
  <c r="M560" i="4"/>
  <c r="Q23" i="2"/>
  <c r="M109" i="4"/>
  <c r="T109" i="4" s="1"/>
  <c r="Q25" i="2"/>
  <c r="M21" i="4"/>
  <c r="T21" i="4" s="1"/>
  <c r="Q73" i="2"/>
  <c r="M89" i="4"/>
  <c r="T89" i="4" s="1"/>
  <c r="Q75" i="2"/>
  <c r="M141" i="4"/>
  <c r="T141" i="4" s="1"/>
  <c r="Q77" i="2"/>
  <c r="M77" i="4"/>
  <c r="T77" i="4" s="1"/>
  <c r="Q79" i="2"/>
  <c r="M143" i="4"/>
  <c r="T143" i="4" s="1"/>
  <c r="Q393" i="2"/>
  <c r="M139" i="4"/>
  <c r="T139" i="4" s="1"/>
  <c r="Q423" i="2"/>
  <c r="M447" i="4"/>
  <c r="T447" i="4" s="1"/>
  <c r="Q434" i="2"/>
  <c r="R434" i="2" s="1"/>
  <c r="M462" i="4"/>
  <c r="T462" i="4" s="1"/>
  <c r="U504" i="2"/>
  <c r="U119" i="2"/>
  <c r="Z504" i="2"/>
  <c r="Z119" i="2"/>
  <c r="AN95" i="2"/>
  <c r="AP175" i="2"/>
  <c r="AJ175" i="2"/>
  <c r="AJ177" i="2"/>
  <c r="AP177" i="2"/>
  <c r="AJ193" i="2"/>
  <c r="AP193" i="2"/>
  <c r="AJ393" i="2"/>
  <c r="AN393" i="2"/>
  <c r="AP92" i="2"/>
  <c r="AJ92" i="2"/>
  <c r="AP94" i="2"/>
  <c r="AJ196" i="2"/>
  <c r="AP196" i="2"/>
  <c r="AN199" i="2"/>
  <c r="AJ199" i="2"/>
  <c r="AJ201" i="2"/>
  <c r="AN201" i="2"/>
  <c r="AJ204" i="2"/>
  <c r="AP204" i="2" s="1"/>
  <c r="AN204" i="2"/>
  <c r="AN207" i="2"/>
  <c r="AJ207" i="2"/>
  <c r="AP207" i="2" s="1"/>
  <c r="AN209" i="2"/>
  <c r="AJ209" i="2"/>
  <c r="AJ212" i="2"/>
  <c r="AP212" i="2" s="1"/>
  <c r="AN212" i="2"/>
  <c r="AN215" i="2"/>
  <c r="AJ215" i="2"/>
  <c r="AP215" i="2" s="1"/>
  <c r="AP342" i="2"/>
  <c r="AJ342" i="2"/>
  <c r="AJ344" i="2"/>
  <c r="AN344" i="2"/>
  <c r="AP174" i="2"/>
  <c r="AJ174" i="2"/>
  <c r="AJ176" i="2"/>
  <c r="AP176" i="2"/>
  <c r="AP178" i="2"/>
  <c r="AJ178" i="2"/>
  <c r="AP194" i="2"/>
  <c r="AJ194" i="2"/>
  <c r="AP195" i="2"/>
  <c r="AN195" i="2"/>
  <c r="AJ195" i="2"/>
  <c r="AL195" i="2" s="1"/>
  <c r="AJ392" i="2"/>
  <c r="AP93" i="2"/>
  <c r="AJ93" i="2"/>
  <c r="AJ197" i="2"/>
  <c r="AP197" i="2" s="1"/>
  <c r="AJ200" i="2"/>
  <c r="AP200" i="2" s="1"/>
  <c r="AN200" i="2"/>
  <c r="AN202" i="2"/>
  <c r="AJ202" i="2"/>
  <c r="AP202" i="2" s="1"/>
  <c r="AJ205" i="2"/>
  <c r="AN205" i="2"/>
  <c r="AN208" i="2"/>
  <c r="AJ208" i="2"/>
  <c r="AP208" i="2" s="1"/>
  <c r="AN211" i="2"/>
  <c r="AJ211" i="2"/>
  <c r="AP211" i="2" s="1"/>
  <c r="AJ213" i="2"/>
  <c r="AN213" i="2"/>
  <c r="AN343" i="2"/>
  <c r="AP40" i="2"/>
  <c r="AJ42" i="2"/>
  <c r="AP42" i="2"/>
  <c r="AN44" i="2"/>
  <c r="AJ44" i="2"/>
  <c r="AP181" i="2"/>
  <c r="AP182" i="2"/>
  <c r="AN182" i="2"/>
  <c r="AJ182" i="2"/>
  <c r="AL182" i="2" s="1"/>
  <c r="AJ184" i="2"/>
  <c r="AP184" i="2"/>
  <c r="AP187" i="2"/>
  <c r="AJ187" i="2"/>
  <c r="AJ189" i="2"/>
  <c r="AP189" i="2"/>
  <c r="AP191" i="2"/>
  <c r="AJ191" i="2"/>
  <c r="AP234" i="2"/>
  <c r="AJ234" i="2"/>
  <c r="AP236" i="2"/>
  <c r="AJ236" i="2"/>
  <c r="AJ239" i="2"/>
  <c r="AP239" i="2"/>
  <c r="AJ241" i="2"/>
  <c r="AP241" i="2"/>
  <c r="AP243" i="2"/>
  <c r="AJ245" i="2"/>
  <c r="AP245" i="2"/>
  <c r="AJ247" i="2"/>
  <c r="AP247" i="2"/>
  <c r="AP249" i="2"/>
  <c r="AJ249" i="2"/>
  <c r="AP251" i="2"/>
  <c r="AJ251" i="2"/>
  <c r="AJ253" i="2"/>
  <c r="AP253" i="2" s="1"/>
  <c r="AJ255" i="2"/>
  <c r="AP255" i="2" s="1"/>
  <c r="AJ256" i="2"/>
  <c r="AP256" i="2"/>
  <c r="AJ258" i="2"/>
  <c r="AP258" i="2" s="1"/>
  <c r="AJ260" i="2"/>
  <c r="AJ262" i="2"/>
  <c r="AP262" i="2" s="1"/>
  <c r="AN262" i="2"/>
  <c r="AJ264" i="2"/>
  <c r="AN264" i="2"/>
  <c r="AJ266" i="2"/>
  <c r="AP266" i="2" s="1"/>
  <c r="AN266" i="2"/>
  <c r="AJ268" i="2"/>
  <c r="AN268" i="2"/>
  <c r="AP327" i="2"/>
  <c r="AJ329" i="2"/>
  <c r="AN329" i="2"/>
  <c r="AP347" i="2"/>
  <c r="AJ349" i="2"/>
  <c r="AN349" i="2"/>
  <c r="AP485" i="2"/>
  <c r="AJ485" i="2"/>
  <c r="AP487" i="2"/>
  <c r="AJ487" i="2"/>
  <c r="AN489" i="2"/>
  <c r="AJ489" i="2"/>
  <c r="AJ491" i="2"/>
  <c r="AN491" i="2"/>
  <c r="AP472" i="2"/>
  <c r="AL472" i="2"/>
  <c r="AF11" i="2"/>
  <c r="R11" i="2" s="1"/>
  <c r="AP13" i="2"/>
  <c r="AJ13" i="2"/>
  <c r="AP14" i="2"/>
  <c r="AJ14" i="2"/>
  <c r="AJ20" i="2"/>
  <c r="AJ21" i="2"/>
  <c r="AJ22" i="2"/>
  <c r="AJ24" i="2"/>
  <c r="AN24" i="2"/>
  <c r="AJ72" i="2"/>
  <c r="AJ74" i="2"/>
  <c r="AJ76" i="2"/>
  <c r="AN78" i="2"/>
  <c r="AP121" i="2"/>
  <c r="AN121" i="2"/>
  <c r="AJ121" i="2"/>
  <c r="AL121" i="2" s="1"/>
  <c r="AP123" i="2"/>
  <c r="AJ123" i="2"/>
  <c r="AJ125" i="2"/>
  <c r="AP125" i="2"/>
  <c r="AJ127" i="2"/>
  <c r="AP127" i="2"/>
  <c r="AP129" i="2"/>
  <c r="AJ129" i="2"/>
  <c r="AP131" i="2"/>
  <c r="AJ131" i="2"/>
  <c r="AJ133" i="2"/>
  <c r="AP133" i="2"/>
  <c r="AJ135" i="2"/>
  <c r="AP135" i="2"/>
  <c r="AP137" i="2"/>
  <c r="AJ137" i="2"/>
  <c r="AP139" i="2"/>
  <c r="AJ139" i="2"/>
  <c r="AJ141" i="2"/>
  <c r="AP141" i="2"/>
  <c r="AJ143" i="2"/>
  <c r="AP143" i="2"/>
  <c r="AP145" i="2"/>
  <c r="AJ145" i="2"/>
  <c r="AP147" i="2"/>
  <c r="AJ147" i="2"/>
  <c r="AJ149" i="2"/>
  <c r="AP149" i="2"/>
  <c r="AJ151" i="2"/>
  <c r="AP151" i="2"/>
  <c r="AP153" i="2"/>
  <c r="AJ153" i="2"/>
  <c r="AP155" i="2"/>
  <c r="AJ155" i="2"/>
  <c r="AJ157" i="2"/>
  <c r="AP157" i="2"/>
  <c r="AJ159" i="2"/>
  <c r="AP159" i="2"/>
  <c r="AP161" i="2"/>
  <c r="AJ161" i="2"/>
  <c r="AP163" i="2"/>
  <c r="AJ163" i="2"/>
  <c r="AJ165" i="2"/>
  <c r="AP165" i="2"/>
  <c r="AP167" i="2"/>
  <c r="AJ167" i="2"/>
  <c r="AJ169" i="2"/>
  <c r="AP169" i="2"/>
  <c r="AP171" i="2"/>
  <c r="AJ171" i="2"/>
  <c r="AJ282" i="2"/>
  <c r="AP282" i="2"/>
  <c r="AJ284" i="2"/>
  <c r="AP284" i="2"/>
  <c r="AP286" i="2"/>
  <c r="AJ286" i="2"/>
  <c r="AJ288" i="2"/>
  <c r="AP288" i="2"/>
  <c r="AP290" i="2"/>
  <c r="AJ290" i="2"/>
  <c r="AJ292" i="2"/>
  <c r="AP292" i="2" s="1"/>
  <c r="AN292" i="2"/>
  <c r="AN294" i="2"/>
  <c r="AJ294" i="2"/>
  <c r="AP294" i="2" s="1"/>
  <c r="AJ296" i="2"/>
  <c r="AP296" i="2" s="1"/>
  <c r="AN296" i="2"/>
  <c r="AJ401" i="2"/>
  <c r="AP401" i="2"/>
  <c r="AJ404" i="2"/>
  <c r="AP404" i="2"/>
  <c r="AJ406" i="2"/>
  <c r="AP406" i="2"/>
  <c r="AJ408" i="2"/>
  <c r="AP408" i="2"/>
  <c r="AJ410" i="2"/>
  <c r="AP410" i="2"/>
  <c r="AJ412" i="2"/>
  <c r="AP412" i="2"/>
  <c r="AJ414" i="2"/>
  <c r="AP414" i="2"/>
  <c r="AJ416" i="2"/>
  <c r="AP416" i="2"/>
  <c r="AJ418" i="2"/>
  <c r="AP418" i="2"/>
  <c r="AJ420" i="2"/>
  <c r="AP420" i="2"/>
  <c r="AJ422" i="2"/>
  <c r="AP422" i="2"/>
  <c r="AJ425" i="2"/>
  <c r="AJ427" i="2"/>
  <c r="AP427" i="2" s="1"/>
  <c r="AN427" i="2"/>
  <c r="AN429" i="2"/>
  <c r="AJ429" i="2"/>
  <c r="AN431" i="2"/>
  <c r="AJ431" i="2"/>
  <c r="AP431" i="2" s="1"/>
  <c r="AN433" i="2"/>
  <c r="AJ433" i="2"/>
  <c r="AP449" i="2"/>
  <c r="AJ449" i="2"/>
  <c r="AJ451" i="2"/>
  <c r="AP451" i="2"/>
  <c r="AJ453" i="2"/>
  <c r="AP453" i="2"/>
  <c r="AP455" i="2"/>
  <c r="AJ455" i="2"/>
  <c r="AP457" i="2"/>
  <c r="AJ457" i="2"/>
  <c r="AJ459" i="2"/>
  <c r="AP459" i="2"/>
  <c r="AJ461" i="2"/>
  <c r="AP461" i="2"/>
  <c r="AP463" i="2"/>
  <c r="AJ463" i="2"/>
  <c r="AP465" i="2"/>
  <c r="AJ465" i="2"/>
  <c r="AJ467" i="2"/>
  <c r="AP467" i="2"/>
  <c r="AJ469" i="2"/>
  <c r="AP469" i="2"/>
  <c r="AN471" i="2"/>
  <c r="AJ471" i="2"/>
  <c r="AP471" i="2" s="1"/>
  <c r="AJ12" i="2"/>
  <c r="AP12" i="2"/>
  <c r="AP41" i="2"/>
  <c r="AJ41" i="2"/>
  <c r="AJ43" i="2"/>
  <c r="AP45" i="2"/>
  <c r="AJ45" i="2"/>
  <c r="AJ180" i="2"/>
  <c r="AP180" i="2"/>
  <c r="AP183" i="2"/>
  <c r="AJ183" i="2"/>
  <c r="AJ185" i="2"/>
  <c r="AP185" i="2"/>
  <c r="AP186" i="2"/>
  <c r="AN186" i="2"/>
  <c r="AJ186" i="2"/>
  <c r="AL186" i="2" s="1"/>
  <c r="AJ188" i="2"/>
  <c r="AP188" i="2"/>
  <c r="AP190" i="2"/>
  <c r="AJ190" i="2"/>
  <c r="AP233" i="2"/>
  <c r="AJ233" i="2"/>
  <c r="AP235" i="2"/>
  <c r="AJ235" i="2"/>
  <c r="AP238" i="2"/>
  <c r="AJ238" i="2"/>
  <c r="AJ240" i="2"/>
  <c r="AP240" i="2"/>
  <c r="AJ242" i="2"/>
  <c r="AP242" i="2"/>
  <c r="AJ244" i="2"/>
  <c r="AP244" i="2"/>
  <c r="AJ246" i="2"/>
  <c r="AP246" i="2"/>
  <c r="AJ248" i="2"/>
  <c r="AP248" i="2"/>
  <c r="AP250" i="2"/>
  <c r="AJ250" i="2"/>
  <c r="AP252" i="2"/>
  <c r="AJ252" i="2"/>
  <c r="AJ254" i="2"/>
  <c r="AP254" i="2" s="1"/>
  <c r="AJ257" i="2"/>
  <c r="AP257" i="2" s="1"/>
  <c r="AJ259" i="2"/>
  <c r="AP259" i="2"/>
  <c r="AN261" i="2"/>
  <c r="AJ263" i="2"/>
  <c r="AP263" i="2" s="1"/>
  <c r="AN263" i="2"/>
  <c r="AN265" i="2"/>
  <c r="AJ265" i="2"/>
  <c r="AJ267" i="2"/>
  <c r="AP267" i="2" s="1"/>
  <c r="AN267" i="2"/>
  <c r="AN269" i="2"/>
  <c r="AJ269" i="2"/>
  <c r="AP328" i="2"/>
  <c r="AJ328" i="2"/>
  <c r="AN330" i="2"/>
  <c r="AJ330" i="2"/>
  <c r="AJ346" i="2"/>
  <c r="AP346" i="2"/>
  <c r="AP348" i="2"/>
  <c r="AJ348" i="2"/>
  <c r="AP486" i="2"/>
  <c r="AJ486" i="2"/>
  <c r="AJ488" i="2"/>
  <c r="AP488" i="2"/>
  <c r="AN490" i="2"/>
  <c r="AJ490" i="2"/>
  <c r="AL46" i="2"/>
  <c r="AL496" i="2"/>
  <c r="AJ91" i="2"/>
  <c r="AP91" i="2"/>
  <c r="AP18" i="2"/>
  <c r="AJ18" i="2"/>
  <c r="AP19" i="2"/>
  <c r="AJ19" i="2"/>
  <c r="AJ23" i="2"/>
  <c r="AJ25" i="2"/>
  <c r="AN25" i="2"/>
  <c r="AJ73" i="2"/>
  <c r="AJ75" i="2"/>
  <c r="AJ77" i="2"/>
  <c r="AN79" i="2"/>
  <c r="AJ79" i="2"/>
  <c r="AP122" i="2"/>
  <c r="AJ122" i="2"/>
  <c r="AJ124" i="2"/>
  <c r="AP124" i="2"/>
  <c r="AJ126" i="2"/>
  <c r="AP126" i="2"/>
  <c r="AP128" i="2"/>
  <c r="AJ128" i="2"/>
  <c r="AP130" i="2"/>
  <c r="AJ130" i="2"/>
  <c r="AJ132" i="2"/>
  <c r="AP132" i="2"/>
  <c r="AJ134" i="2"/>
  <c r="AP134" i="2"/>
  <c r="AP136" i="2"/>
  <c r="AJ136" i="2"/>
  <c r="AP138" i="2"/>
  <c r="AJ138" i="2"/>
  <c r="AJ140" i="2"/>
  <c r="AP140" i="2"/>
  <c r="AJ142" i="2"/>
  <c r="AP142" i="2"/>
  <c r="AP144" i="2"/>
  <c r="AJ144" i="2"/>
  <c r="AP146" i="2"/>
  <c r="AJ146" i="2"/>
  <c r="AJ148" i="2"/>
  <c r="AP148" i="2"/>
  <c r="AJ150" i="2"/>
  <c r="AP150" i="2"/>
  <c r="AP152" i="2"/>
  <c r="AJ152" i="2"/>
  <c r="AP154" i="2"/>
  <c r="AJ154" i="2"/>
  <c r="AJ156" i="2"/>
  <c r="AP156" i="2"/>
  <c r="AJ158" i="2"/>
  <c r="AP158" i="2"/>
  <c r="AP160" i="2"/>
  <c r="AJ160" i="2"/>
  <c r="AP162" i="2"/>
  <c r="AJ162" i="2"/>
  <c r="AJ164" i="2"/>
  <c r="AP164" i="2"/>
  <c r="AP166" i="2"/>
  <c r="AJ166" i="2"/>
  <c r="AJ168" i="2"/>
  <c r="AP168" i="2"/>
  <c r="AP170" i="2"/>
  <c r="AJ170" i="2"/>
  <c r="AJ172" i="2"/>
  <c r="AP172" i="2"/>
  <c r="AJ281" i="2"/>
  <c r="AP281" i="2"/>
  <c r="AJ283" i="2"/>
  <c r="AP283" i="2"/>
  <c r="AP285" i="2"/>
  <c r="AJ285" i="2"/>
  <c r="AP287" i="2"/>
  <c r="AJ287" i="2"/>
  <c r="AP289" i="2"/>
  <c r="AJ289" i="2"/>
  <c r="AJ291" i="2"/>
  <c r="AN291" i="2"/>
  <c r="AJ293" i="2"/>
  <c r="AP293" i="2" s="1"/>
  <c r="AN293" i="2"/>
  <c r="AN295" i="2"/>
  <c r="AJ295" i="2"/>
  <c r="AJ402" i="2"/>
  <c r="AP402" i="2"/>
  <c r="AJ403" i="2"/>
  <c r="AP403" i="2"/>
  <c r="AJ405" i="2"/>
  <c r="AP405" i="2"/>
  <c r="AJ407" i="2"/>
  <c r="AP407" i="2"/>
  <c r="AJ409" i="2"/>
  <c r="AP409" i="2"/>
  <c r="AJ411" i="2"/>
  <c r="AP411" i="2"/>
  <c r="AJ413" i="2"/>
  <c r="AP413" i="2"/>
  <c r="AJ415" i="2"/>
  <c r="AP415" i="2"/>
  <c r="AJ417" i="2"/>
  <c r="AP417" i="2"/>
  <c r="AP419" i="2"/>
  <c r="AJ421" i="2"/>
  <c r="AP421" i="2"/>
  <c r="AJ423" i="2"/>
  <c r="AP423" i="2"/>
  <c r="AJ426" i="2"/>
  <c r="AP426" i="2"/>
  <c r="AJ428" i="2"/>
  <c r="AN428" i="2"/>
  <c r="AJ430" i="2"/>
  <c r="AP430" i="2" s="1"/>
  <c r="AN430" i="2"/>
  <c r="AN432" i="2"/>
  <c r="AJ432" i="2"/>
  <c r="AJ434" i="2"/>
  <c r="AN434" i="2"/>
  <c r="AP448" i="2"/>
  <c r="AJ448" i="2"/>
  <c r="AP450" i="2"/>
  <c r="AJ450" i="2"/>
  <c r="AJ452" i="2"/>
  <c r="AP452" i="2"/>
  <c r="AJ454" i="2"/>
  <c r="AP454" i="2"/>
  <c r="AP456" i="2"/>
  <c r="AJ456" i="2"/>
  <c r="AP458" i="2"/>
  <c r="AJ458" i="2"/>
  <c r="AJ460" i="2"/>
  <c r="AP460" i="2"/>
  <c r="AJ462" i="2"/>
  <c r="AP462" i="2"/>
  <c r="AP464" i="2"/>
  <c r="AJ464" i="2"/>
  <c r="AP466" i="2"/>
  <c r="AJ466" i="2"/>
  <c r="AJ468" i="2"/>
  <c r="AP468" i="2"/>
  <c r="AJ470" i="2"/>
  <c r="AP470" i="2" s="1"/>
  <c r="AN494" i="2"/>
  <c r="AJ494" i="2"/>
  <c r="AN493" i="2"/>
  <c r="AN492" i="2"/>
  <c r="AJ492" i="2"/>
  <c r="AP492" i="2" s="1"/>
  <c r="AP497" i="2"/>
  <c r="AL497" i="2"/>
  <c r="AL495" i="2"/>
  <c r="W389" i="2"/>
  <c r="Z389" i="2"/>
  <c r="P397" i="2"/>
  <c r="N86" i="2"/>
  <c r="N356" i="2"/>
  <c r="N102" i="2"/>
  <c r="P243" i="2"/>
  <c r="Q243" i="2" s="1"/>
  <c r="N278" i="2"/>
  <c r="Q122" i="2"/>
  <c r="P343" i="2"/>
  <c r="AJ343" i="2" s="1"/>
  <c r="Q537" i="2"/>
  <c r="P11" i="2"/>
  <c r="P37" i="2" s="1"/>
  <c r="N502" i="2"/>
  <c r="P419" i="2"/>
  <c r="N445" i="2"/>
  <c r="V497" i="2"/>
  <c r="AB497" i="2" s="1"/>
  <c r="AC497" i="2" s="1"/>
  <c r="N230" i="2"/>
  <c r="V472" i="2"/>
  <c r="T472" i="2"/>
  <c r="X472" i="2" s="1"/>
  <c r="Y472" i="2" s="1"/>
  <c r="AA472" i="2" s="1"/>
  <c r="P40" i="2"/>
  <c r="N52" i="2"/>
  <c r="P493" i="2"/>
  <c r="Q493" i="2" s="1"/>
  <c r="R493" i="2" s="1"/>
  <c r="V493" i="2" s="1"/>
  <c r="W119" i="2"/>
  <c r="R537" i="2"/>
  <c r="T537" i="2" s="1"/>
  <c r="V46" i="2"/>
  <c r="AB46" i="2" s="1"/>
  <c r="AC46" i="2" s="1"/>
  <c r="R174" i="2"/>
  <c r="V174" i="2" s="1"/>
  <c r="X494" i="2"/>
  <c r="Y494" i="2" s="1"/>
  <c r="AA494" i="2" s="1"/>
  <c r="R92" i="2"/>
  <c r="V92" i="2" s="1"/>
  <c r="R40" i="2"/>
  <c r="T40" i="2" s="1"/>
  <c r="R201" i="2"/>
  <c r="T201" i="2" s="1"/>
  <c r="X201" i="2" s="1"/>
  <c r="Y201" i="2" s="1"/>
  <c r="AA201" i="2" s="1"/>
  <c r="X233" i="2"/>
  <c r="Y233" i="2" s="1"/>
  <c r="AA233" i="2" s="1"/>
  <c r="R41" i="2"/>
  <c r="V41" i="2" s="1"/>
  <c r="X213" i="2"/>
  <c r="Y213" i="2" s="1"/>
  <c r="AA213" i="2" s="1"/>
  <c r="R171" i="2"/>
  <c r="V171" i="2" s="1"/>
  <c r="X402" i="2"/>
  <c r="Y402" i="2" s="1"/>
  <c r="AA402" i="2" s="1"/>
  <c r="X405" i="2"/>
  <c r="Y405" i="2" s="1"/>
  <c r="AA405" i="2" s="1"/>
  <c r="X409" i="2"/>
  <c r="Y409" i="2" s="1"/>
  <c r="AA409" i="2" s="1"/>
  <c r="X413" i="2"/>
  <c r="Y413" i="2" s="1"/>
  <c r="AA413" i="2" s="1"/>
  <c r="X417" i="2"/>
  <c r="Y417" i="2" s="1"/>
  <c r="AA417" i="2" s="1"/>
  <c r="X269" i="2"/>
  <c r="Y269" i="2" s="1"/>
  <c r="AA269" i="2" s="1"/>
  <c r="R166" i="2"/>
  <c r="T166" i="2" s="1"/>
  <c r="X208" i="2"/>
  <c r="Y208" i="2" s="1"/>
  <c r="AA208" i="2" s="1"/>
  <c r="X211" i="2"/>
  <c r="Y211" i="2" s="1"/>
  <c r="AA211" i="2" s="1"/>
  <c r="X215" i="2"/>
  <c r="Y215" i="2" s="1"/>
  <c r="AA215" i="2" s="1"/>
  <c r="R43" i="2"/>
  <c r="V43" i="2" s="1"/>
  <c r="R193" i="2"/>
  <c r="V193" i="2" s="1"/>
  <c r="X238" i="2"/>
  <c r="Y238" i="2" s="1"/>
  <c r="AA238" i="2" s="1"/>
  <c r="R248" i="2"/>
  <c r="T248" i="2" s="1"/>
  <c r="X248" i="2" s="1"/>
  <c r="Y248" i="2" s="1"/>
  <c r="AA248" i="2" s="1"/>
  <c r="R291" i="2"/>
  <c r="T291" i="2" s="1"/>
  <c r="X291" i="2" s="1"/>
  <c r="Y291" i="2" s="1"/>
  <c r="AA291" i="2" s="1"/>
  <c r="R175" i="2"/>
  <c r="V175" i="2" s="1"/>
  <c r="R251" i="2"/>
  <c r="V251" i="2" s="1"/>
  <c r="X292" i="2"/>
  <c r="Y292" i="2" s="1"/>
  <c r="AA292" i="2" s="1"/>
  <c r="R93" i="2"/>
  <c r="V93" i="2" s="1"/>
  <c r="X79" i="2"/>
  <c r="Y79" i="2" s="1"/>
  <c r="AA79" i="2" s="1"/>
  <c r="X180" i="2"/>
  <c r="Y180" i="2" s="1"/>
  <c r="AA180" i="2" s="1"/>
  <c r="X526" i="2"/>
  <c r="Y526" i="2" s="1"/>
  <c r="AA526" i="2" s="1"/>
  <c r="X406" i="2"/>
  <c r="Y406" i="2" s="1"/>
  <c r="AA406" i="2" s="1"/>
  <c r="X410" i="2"/>
  <c r="Y410" i="2" s="1"/>
  <c r="AA410" i="2" s="1"/>
  <c r="X414" i="2"/>
  <c r="Y414" i="2" s="1"/>
  <c r="AA414" i="2" s="1"/>
  <c r="X418" i="2"/>
  <c r="Y418" i="2" s="1"/>
  <c r="AA418" i="2" s="1"/>
  <c r="R168" i="2"/>
  <c r="V168" i="2" s="1"/>
  <c r="R42" i="2"/>
  <c r="V42" i="2" s="1"/>
  <c r="X169" i="2"/>
  <c r="Y169" i="2" s="1"/>
  <c r="AA169" i="2" s="1"/>
  <c r="R258" i="2"/>
  <c r="T258" i="2" s="1"/>
  <c r="X258" i="2" s="1"/>
  <c r="Y258" i="2" s="1"/>
  <c r="AA258" i="2" s="1"/>
  <c r="R527" i="2"/>
  <c r="V527" i="2" s="1"/>
  <c r="V496" i="2"/>
  <c r="AB496" i="2" s="1"/>
  <c r="AC496" i="2" s="1"/>
  <c r="AR496" i="2" s="1"/>
  <c r="T496" i="2"/>
  <c r="V495" i="2"/>
  <c r="AB495" i="2" s="1"/>
  <c r="AC495" i="2" s="1"/>
  <c r="AR495" i="2" s="1"/>
  <c r="T495" i="2"/>
  <c r="R25" i="2"/>
  <c r="T25" i="2" s="1"/>
  <c r="X236" i="2"/>
  <c r="Y236" i="2" s="1"/>
  <c r="AA236" i="2" s="1"/>
  <c r="X401" i="2"/>
  <c r="Y401" i="2" s="1"/>
  <c r="AA401" i="2" s="1"/>
  <c r="X404" i="2"/>
  <c r="Y404" i="2" s="1"/>
  <c r="AA404" i="2" s="1"/>
  <c r="X408" i="2"/>
  <c r="Y408" i="2" s="1"/>
  <c r="AA408" i="2" s="1"/>
  <c r="X412" i="2"/>
  <c r="Y412" i="2" s="1"/>
  <c r="AA412" i="2" s="1"/>
  <c r="X416" i="2"/>
  <c r="Y416" i="2" s="1"/>
  <c r="AA416" i="2" s="1"/>
  <c r="X403" i="2"/>
  <c r="Y403" i="2" s="1"/>
  <c r="AA403" i="2" s="1"/>
  <c r="X407" i="2"/>
  <c r="Y407" i="2" s="1"/>
  <c r="AA407" i="2" s="1"/>
  <c r="X411" i="2"/>
  <c r="Y411" i="2" s="1"/>
  <c r="AA411" i="2" s="1"/>
  <c r="X415" i="2"/>
  <c r="Y415" i="2" s="1"/>
  <c r="AA415" i="2" s="1"/>
  <c r="R255" i="2"/>
  <c r="T255" i="2" s="1"/>
  <c r="X255" i="2" s="1"/>
  <c r="Y255" i="2" s="1"/>
  <c r="AA255" i="2" s="1"/>
  <c r="R170" i="2"/>
  <c r="T170" i="2" s="1"/>
  <c r="X205" i="2"/>
  <c r="Y205" i="2" s="1"/>
  <c r="AA205" i="2" s="1"/>
  <c r="R526" i="2"/>
  <c r="V526" i="2" s="1"/>
  <c r="R406" i="2"/>
  <c r="T406" i="2" s="1"/>
  <c r="R409" i="2"/>
  <c r="V409" i="2" s="1"/>
  <c r="R415" i="2"/>
  <c r="V415" i="2" s="1"/>
  <c r="R420" i="2"/>
  <c r="T420" i="2" s="1"/>
  <c r="X420" i="2" s="1"/>
  <c r="Y420" i="2" s="1"/>
  <c r="AA420" i="2" s="1"/>
  <c r="R423" i="2"/>
  <c r="T423" i="2" s="1"/>
  <c r="R427" i="2"/>
  <c r="V427" i="2" s="1"/>
  <c r="R519" i="2"/>
  <c r="V519" i="2" s="1"/>
  <c r="R122" i="2"/>
  <c r="V122" i="2" s="1"/>
  <c r="R124" i="2"/>
  <c r="T124" i="2" s="1"/>
  <c r="R127" i="2"/>
  <c r="V127" i="2" s="1"/>
  <c r="R129" i="2"/>
  <c r="T129" i="2" s="1"/>
  <c r="R131" i="2"/>
  <c r="T131" i="2" s="1"/>
  <c r="R134" i="2"/>
  <c r="T134" i="2" s="1"/>
  <c r="R137" i="2"/>
  <c r="V137" i="2" s="1"/>
  <c r="R139" i="2"/>
  <c r="V139" i="2" s="1"/>
  <c r="R143" i="2"/>
  <c r="V143" i="2" s="1"/>
  <c r="R147" i="2"/>
  <c r="V147" i="2" s="1"/>
  <c r="R154" i="2"/>
  <c r="V154" i="2" s="1"/>
  <c r="R156" i="2"/>
  <c r="V156" i="2" s="1"/>
  <c r="R158" i="2"/>
  <c r="T158" i="2" s="1"/>
  <c r="R160" i="2"/>
  <c r="T160" i="2" s="1"/>
  <c r="R162" i="2"/>
  <c r="V162" i="2" s="1"/>
  <c r="R163" i="2"/>
  <c r="T163" i="2" s="1"/>
  <c r="R196" i="2"/>
  <c r="T196" i="2" s="1"/>
  <c r="R243" i="2"/>
  <c r="T243" i="2" s="1"/>
  <c r="R249" i="2"/>
  <c r="T249" i="2" s="1"/>
  <c r="X249" i="2" s="1"/>
  <c r="Y249" i="2" s="1"/>
  <c r="AA249" i="2" s="1"/>
  <c r="R257" i="2"/>
  <c r="T257" i="2" s="1"/>
  <c r="X257" i="2" s="1"/>
  <c r="Y257" i="2" s="1"/>
  <c r="AA257" i="2" s="1"/>
  <c r="X342" i="2"/>
  <c r="Y342" i="2" s="1"/>
  <c r="X349" i="2"/>
  <c r="Y349" i="2" s="1"/>
  <c r="AA349" i="2" s="1"/>
  <c r="X423" i="2"/>
  <c r="Y423" i="2" s="1"/>
  <c r="AA423" i="2" s="1"/>
  <c r="R433" i="2"/>
  <c r="T433" i="2" s="1"/>
  <c r="X433" i="2" s="1"/>
  <c r="Y433" i="2" s="1"/>
  <c r="AA433" i="2" s="1"/>
  <c r="X527" i="2"/>
  <c r="Y527" i="2" s="1"/>
  <c r="R199" i="2"/>
  <c r="V199" i="2" s="1"/>
  <c r="R233" i="2"/>
  <c r="R256" i="2"/>
  <c r="T256" i="2" s="1"/>
  <c r="R401" i="2"/>
  <c r="V401" i="2" s="1"/>
  <c r="R403" i="2"/>
  <c r="V403" i="2" s="1"/>
  <c r="R405" i="2"/>
  <c r="T405" i="2" s="1"/>
  <c r="R408" i="2"/>
  <c r="V408" i="2" s="1"/>
  <c r="R410" i="2"/>
  <c r="T410" i="2" s="1"/>
  <c r="R411" i="2"/>
  <c r="V411" i="2" s="1"/>
  <c r="R413" i="2"/>
  <c r="T413" i="2" s="1"/>
  <c r="R414" i="2"/>
  <c r="V414" i="2" s="1"/>
  <c r="R416" i="2"/>
  <c r="V416" i="2" s="1"/>
  <c r="R417" i="2"/>
  <c r="V417" i="2" s="1"/>
  <c r="R418" i="2"/>
  <c r="V418" i="2" s="1"/>
  <c r="R422" i="2"/>
  <c r="V422" i="2" s="1"/>
  <c r="R425" i="2"/>
  <c r="V425" i="2" s="1"/>
  <c r="R426" i="2"/>
  <c r="T426" i="2" s="1"/>
  <c r="X426" i="2" s="1"/>
  <c r="Y426" i="2" s="1"/>
  <c r="AA426" i="2" s="1"/>
  <c r="R429" i="2"/>
  <c r="V429" i="2" s="1"/>
  <c r="R18" i="2"/>
  <c r="V18" i="2" s="1"/>
  <c r="R23" i="2"/>
  <c r="V23" i="2" s="1"/>
  <c r="R517" i="2"/>
  <c r="T517" i="2" s="1"/>
  <c r="R518" i="2"/>
  <c r="V518" i="2" s="1"/>
  <c r="R520" i="2"/>
  <c r="V520" i="2" s="1"/>
  <c r="R123" i="2"/>
  <c r="V123" i="2" s="1"/>
  <c r="R125" i="2"/>
  <c r="T125" i="2" s="1"/>
  <c r="R126" i="2"/>
  <c r="T126" i="2" s="1"/>
  <c r="R128" i="2"/>
  <c r="T128" i="2" s="1"/>
  <c r="R130" i="2"/>
  <c r="V130" i="2" s="1"/>
  <c r="R132" i="2"/>
  <c r="V132" i="2" s="1"/>
  <c r="R133" i="2"/>
  <c r="V133" i="2" s="1"/>
  <c r="R135" i="2"/>
  <c r="V135" i="2" s="1"/>
  <c r="R136" i="2"/>
  <c r="T136" i="2" s="1"/>
  <c r="R138" i="2"/>
  <c r="V138" i="2" s="1"/>
  <c r="R140" i="2"/>
  <c r="T140" i="2" s="1"/>
  <c r="R141" i="2"/>
  <c r="V141" i="2" s="1"/>
  <c r="R142" i="2"/>
  <c r="V142" i="2" s="1"/>
  <c r="R144" i="2"/>
  <c r="V144" i="2" s="1"/>
  <c r="R145" i="2"/>
  <c r="V145" i="2" s="1"/>
  <c r="R146" i="2"/>
  <c r="V146" i="2" s="1"/>
  <c r="R148" i="2"/>
  <c r="T148" i="2" s="1"/>
  <c r="R149" i="2"/>
  <c r="V149" i="2" s="1"/>
  <c r="R150" i="2"/>
  <c r="T150" i="2" s="1"/>
  <c r="R151" i="2"/>
  <c r="V151" i="2" s="1"/>
  <c r="R152" i="2"/>
  <c r="V152" i="2" s="1"/>
  <c r="R153" i="2"/>
  <c r="T153" i="2" s="1"/>
  <c r="R155" i="2"/>
  <c r="V155" i="2" s="1"/>
  <c r="R157" i="2"/>
  <c r="V157" i="2" s="1"/>
  <c r="R159" i="2"/>
  <c r="V159" i="2" s="1"/>
  <c r="R161" i="2"/>
  <c r="T161" i="2" s="1"/>
  <c r="R164" i="2"/>
  <c r="T164" i="2" s="1"/>
  <c r="R536" i="2"/>
  <c r="V536" i="2" s="1"/>
  <c r="R24" i="2"/>
  <c r="T24" i="2" s="1"/>
  <c r="X24" i="2" s="1"/>
  <c r="Y24" i="2" s="1"/>
  <c r="AA24" i="2" s="1"/>
  <c r="R185" i="2"/>
  <c r="V185" i="2" s="1"/>
  <c r="X207" i="2"/>
  <c r="Y207" i="2" s="1"/>
  <c r="AA207" i="2" s="1"/>
  <c r="R242" i="2"/>
  <c r="R244" i="2"/>
  <c r="T244" i="2" s="1"/>
  <c r="X244" i="2" s="1"/>
  <c r="Y244" i="2" s="1"/>
  <c r="AA244" i="2" s="1"/>
  <c r="R250" i="2"/>
  <c r="V250" i="2" s="1"/>
  <c r="X267" i="2"/>
  <c r="Y267" i="2" s="1"/>
  <c r="AA267" i="2" s="1"/>
  <c r="R293" i="2"/>
  <c r="V293" i="2" s="1"/>
  <c r="X329" i="2"/>
  <c r="Y329" i="2" s="1"/>
  <c r="AA329" i="2" s="1"/>
  <c r="R235" i="2"/>
  <c r="V235" i="2" s="1"/>
  <c r="R342" i="2"/>
  <c r="T342" i="2" s="1"/>
  <c r="R402" i="2"/>
  <c r="T402" i="2" s="1"/>
  <c r="R404" i="2"/>
  <c r="V404" i="2" s="1"/>
  <c r="R407" i="2"/>
  <c r="V407" i="2" s="1"/>
  <c r="R412" i="2"/>
  <c r="V412" i="2" s="1"/>
  <c r="R421" i="2"/>
  <c r="V421" i="2" s="1"/>
  <c r="R428" i="2"/>
  <c r="T428" i="2" s="1"/>
  <c r="X428" i="2" s="1"/>
  <c r="Y428" i="2" s="1"/>
  <c r="AA428" i="2" s="1"/>
  <c r="X172" i="2"/>
  <c r="Y172" i="2" s="1"/>
  <c r="AA172" i="2" s="1"/>
  <c r="X174" i="2"/>
  <c r="Y174" i="2" s="1"/>
  <c r="AA174" i="2" s="1"/>
  <c r="R184" i="2"/>
  <c r="V184" i="2" s="1"/>
  <c r="R265" i="2"/>
  <c r="V265" i="2" s="1"/>
  <c r="X268" i="2"/>
  <c r="Y268" i="2" s="1"/>
  <c r="AA268" i="2" s="1"/>
  <c r="R288" i="2"/>
  <c r="V288" i="2" s="1"/>
  <c r="R348" i="2"/>
  <c r="T348" i="2" s="1"/>
  <c r="X348" i="2" s="1"/>
  <c r="Y348" i="2" s="1"/>
  <c r="AA348" i="2" s="1"/>
  <c r="R494" i="2"/>
  <c r="V494" i="2" s="1"/>
  <c r="R349" i="2"/>
  <c r="V349" i="2" s="1"/>
  <c r="R541" i="2"/>
  <c r="T541" i="2" s="1"/>
  <c r="X541" i="2" s="1"/>
  <c r="Y541" i="2" s="1"/>
  <c r="AA541" i="2" s="1"/>
  <c r="R94" i="2"/>
  <c r="V94" i="2" s="1"/>
  <c r="R240" i="2"/>
  <c r="V240" i="2" s="1"/>
  <c r="R267" i="2"/>
  <c r="T267" i="2" s="1"/>
  <c r="R431" i="2"/>
  <c r="T431" i="2" s="1"/>
  <c r="R21" i="2"/>
  <c r="V21" i="2" s="1"/>
  <c r="X167" i="2"/>
  <c r="Y167" i="2" s="1"/>
  <c r="AA167" i="2" s="1"/>
  <c r="R176" i="2"/>
  <c r="V176" i="2" s="1"/>
  <c r="R194" i="2"/>
  <c r="T194" i="2" s="1"/>
  <c r="X194" i="2" s="1"/>
  <c r="Y194" i="2" s="1"/>
  <c r="AA194" i="2" s="1"/>
  <c r="X209" i="2"/>
  <c r="Y209" i="2" s="1"/>
  <c r="AA209" i="2" s="1"/>
  <c r="R212" i="2"/>
  <c r="T212" i="2" s="1"/>
  <c r="X234" i="2"/>
  <c r="Y234" i="2" s="1"/>
  <c r="AA234" i="2" s="1"/>
  <c r="R268" i="2"/>
  <c r="V268" i="2" s="1"/>
  <c r="R241" i="2"/>
  <c r="V241" i="2" s="1"/>
  <c r="R266" i="2"/>
  <c r="V266" i="2" s="1"/>
  <c r="R393" i="2"/>
  <c r="T393" i="2" s="1"/>
  <c r="X212" i="2"/>
  <c r="Y212" i="2" s="1"/>
  <c r="AA212" i="2" s="1"/>
  <c r="R238" i="2"/>
  <c r="R289" i="2"/>
  <c r="V289" i="2" s="1"/>
  <c r="R344" i="2"/>
  <c r="T344" i="2" s="1"/>
  <c r="R180" i="2"/>
  <c r="V180" i="2" s="1"/>
  <c r="R213" i="2"/>
  <c r="T213" i="2" s="1"/>
  <c r="R215" i="2"/>
  <c r="T215" i="2" s="1"/>
  <c r="R236" i="2"/>
  <c r="V236" i="2" s="1"/>
  <c r="R531" i="2"/>
  <c r="T531" i="2" s="1"/>
  <c r="X531" i="2" s="1"/>
  <c r="Y531" i="2" s="1"/>
  <c r="AA531" i="2" s="1"/>
  <c r="R269" i="2"/>
  <c r="T269" i="2" s="1"/>
  <c r="P327" i="2"/>
  <c r="P339" i="2" s="1"/>
  <c r="C43" i="1" s="1"/>
  <c r="AD43" i="1" s="1"/>
  <c r="R346" i="2"/>
  <c r="T346" i="2" s="1"/>
  <c r="Q392" i="2"/>
  <c r="Q397" i="2" s="1"/>
  <c r="R432" i="2"/>
  <c r="T432" i="2" s="1"/>
  <c r="R487" i="2"/>
  <c r="T487" i="2" s="1"/>
  <c r="X487" i="2" s="1"/>
  <c r="Y487" i="2" s="1"/>
  <c r="AA487" i="2" s="1"/>
  <c r="R491" i="2"/>
  <c r="V491" i="2" s="1"/>
  <c r="R488" i="2"/>
  <c r="V488" i="2" s="1"/>
  <c r="R492" i="2"/>
  <c r="V492" i="2" s="1"/>
  <c r="X489" i="2"/>
  <c r="Y489" i="2" s="1"/>
  <c r="AA489" i="2" s="1"/>
  <c r="X492" i="2"/>
  <c r="Y492" i="2" s="1"/>
  <c r="AA492" i="2" s="1"/>
  <c r="X12" i="2"/>
  <c r="Y12" i="2" s="1"/>
  <c r="AA12" i="2" s="1"/>
  <c r="R12" i="2"/>
  <c r="R72" i="2"/>
  <c r="R76" i="2"/>
  <c r="R45" i="2"/>
  <c r="R532" i="2"/>
  <c r="R13" i="2"/>
  <c r="R73" i="2"/>
  <c r="R77" i="2"/>
  <c r="R14" i="2"/>
  <c r="R22" i="2"/>
  <c r="R79" i="2"/>
  <c r="R91" i="2"/>
  <c r="R74" i="2"/>
  <c r="R19" i="2"/>
  <c r="R75" i="2"/>
  <c r="R20" i="2"/>
  <c r="R190" i="2"/>
  <c r="X196" i="2"/>
  <c r="Y196" i="2" s="1"/>
  <c r="AA196" i="2" s="1"/>
  <c r="X256" i="2"/>
  <c r="Y256" i="2" s="1"/>
  <c r="AA256" i="2" s="1"/>
  <c r="P324" i="2"/>
  <c r="Q281" i="2"/>
  <c r="Q324" i="2" s="1"/>
  <c r="R290" i="2"/>
  <c r="R449" i="2"/>
  <c r="X449" i="2"/>
  <c r="Y449" i="2" s="1"/>
  <c r="AA449" i="2" s="1"/>
  <c r="R453" i="2"/>
  <c r="X453" i="2"/>
  <c r="Y453" i="2" s="1"/>
  <c r="AA453" i="2" s="1"/>
  <c r="R457" i="2"/>
  <c r="X457" i="2"/>
  <c r="Y457" i="2" s="1"/>
  <c r="AA457" i="2" s="1"/>
  <c r="R461" i="2"/>
  <c r="X461" i="2"/>
  <c r="Y461" i="2" s="1"/>
  <c r="AA461" i="2" s="1"/>
  <c r="R465" i="2"/>
  <c r="R469" i="2"/>
  <c r="X165" i="2"/>
  <c r="Y165" i="2" s="1"/>
  <c r="AA165" i="2" s="1"/>
  <c r="R169" i="2"/>
  <c r="Q252" i="2"/>
  <c r="X264" i="2"/>
  <c r="Y264" i="2" s="1"/>
  <c r="AA264" i="2" s="1"/>
  <c r="R296" i="2"/>
  <c r="X346" i="2"/>
  <c r="Y346" i="2" s="1"/>
  <c r="AA346" i="2" s="1"/>
  <c r="X432" i="2"/>
  <c r="Y432" i="2" s="1"/>
  <c r="AA432" i="2" s="1"/>
  <c r="R490" i="2"/>
  <c r="R485" i="2"/>
  <c r="X485" i="2"/>
  <c r="X25" i="2"/>
  <c r="Y25" i="2" s="1"/>
  <c r="AA25" i="2" s="1"/>
  <c r="P78" i="2"/>
  <c r="X537" i="2"/>
  <c r="Y537" i="2" s="1"/>
  <c r="AA537" i="2" s="1"/>
  <c r="X170" i="2"/>
  <c r="Y170" i="2" s="1"/>
  <c r="AA170" i="2" s="1"/>
  <c r="R181" i="2"/>
  <c r="R200" i="2"/>
  <c r="N324" i="2"/>
  <c r="R287" i="2"/>
  <c r="R330" i="2"/>
  <c r="R189" i="2"/>
  <c r="R450" i="2"/>
  <c r="X450" i="2"/>
  <c r="Y450" i="2" s="1"/>
  <c r="AA450" i="2" s="1"/>
  <c r="R454" i="2"/>
  <c r="X454" i="2"/>
  <c r="Y454" i="2" s="1"/>
  <c r="AA454" i="2" s="1"/>
  <c r="R458" i="2"/>
  <c r="X458" i="2"/>
  <c r="Y458" i="2" s="1"/>
  <c r="AA458" i="2" s="1"/>
  <c r="R462" i="2"/>
  <c r="X462" i="2"/>
  <c r="Y462" i="2" s="1"/>
  <c r="AA462" i="2" s="1"/>
  <c r="R466" i="2"/>
  <c r="R470" i="2"/>
  <c r="N88" i="2"/>
  <c r="P88" i="2" s="1"/>
  <c r="P95" i="2"/>
  <c r="X517" i="2"/>
  <c r="X518" i="2"/>
  <c r="Y518" i="2" s="1"/>
  <c r="AA518" i="2" s="1"/>
  <c r="X519" i="2"/>
  <c r="Y519" i="2" s="1"/>
  <c r="AA519" i="2" s="1"/>
  <c r="X520" i="2"/>
  <c r="Y520" i="2" s="1"/>
  <c r="AA520" i="2" s="1"/>
  <c r="X122" i="2"/>
  <c r="Y122" i="2" s="1"/>
  <c r="AA122" i="2" s="1"/>
  <c r="X123" i="2"/>
  <c r="Y123" i="2" s="1"/>
  <c r="AA123" i="2" s="1"/>
  <c r="X124" i="2"/>
  <c r="Y124" i="2" s="1"/>
  <c r="AA124" i="2" s="1"/>
  <c r="X125" i="2"/>
  <c r="Y125" i="2" s="1"/>
  <c r="AA125" i="2" s="1"/>
  <c r="X126" i="2"/>
  <c r="Y126" i="2" s="1"/>
  <c r="AA126" i="2" s="1"/>
  <c r="X127" i="2"/>
  <c r="Y127" i="2" s="1"/>
  <c r="AA127" i="2" s="1"/>
  <c r="X128" i="2"/>
  <c r="Y128" i="2" s="1"/>
  <c r="AA128" i="2" s="1"/>
  <c r="X129" i="2"/>
  <c r="Y129" i="2" s="1"/>
  <c r="AA129" i="2" s="1"/>
  <c r="X130" i="2"/>
  <c r="Y130" i="2" s="1"/>
  <c r="AA130" i="2" s="1"/>
  <c r="X131" i="2"/>
  <c r="Y131" i="2" s="1"/>
  <c r="AA131" i="2" s="1"/>
  <c r="X132" i="2"/>
  <c r="Y132" i="2" s="1"/>
  <c r="AA132" i="2" s="1"/>
  <c r="X133" i="2"/>
  <c r="Y133" i="2" s="1"/>
  <c r="AA133" i="2" s="1"/>
  <c r="X134" i="2"/>
  <c r="Y134" i="2" s="1"/>
  <c r="AA134" i="2" s="1"/>
  <c r="X135" i="2"/>
  <c r="Y135" i="2" s="1"/>
  <c r="AA135" i="2" s="1"/>
  <c r="X136" i="2"/>
  <c r="Y136" i="2" s="1"/>
  <c r="AA136" i="2" s="1"/>
  <c r="X137" i="2"/>
  <c r="Y137" i="2" s="1"/>
  <c r="AA137" i="2" s="1"/>
  <c r="X138" i="2"/>
  <c r="Y138" i="2" s="1"/>
  <c r="AA138" i="2" s="1"/>
  <c r="X139" i="2"/>
  <c r="Y139" i="2" s="1"/>
  <c r="AA139" i="2" s="1"/>
  <c r="X140" i="2"/>
  <c r="Y140" i="2" s="1"/>
  <c r="AA140" i="2" s="1"/>
  <c r="X141" i="2"/>
  <c r="Y141" i="2" s="1"/>
  <c r="AA141" i="2" s="1"/>
  <c r="X142" i="2"/>
  <c r="Y142" i="2" s="1"/>
  <c r="AA142" i="2" s="1"/>
  <c r="X143" i="2"/>
  <c r="Y143" i="2" s="1"/>
  <c r="AA143" i="2" s="1"/>
  <c r="X144" i="2"/>
  <c r="Y144" i="2" s="1"/>
  <c r="AA144" i="2" s="1"/>
  <c r="X145" i="2"/>
  <c r="Y145" i="2" s="1"/>
  <c r="AA145" i="2" s="1"/>
  <c r="X146" i="2"/>
  <c r="Y146" i="2" s="1"/>
  <c r="AA146" i="2" s="1"/>
  <c r="X147" i="2"/>
  <c r="Y147" i="2" s="1"/>
  <c r="AA147" i="2" s="1"/>
  <c r="X148" i="2"/>
  <c r="Y148" i="2" s="1"/>
  <c r="AA148" i="2" s="1"/>
  <c r="X149" i="2"/>
  <c r="Y149" i="2" s="1"/>
  <c r="AA149" i="2" s="1"/>
  <c r="X150" i="2"/>
  <c r="Y150" i="2" s="1"/>
  <c r="AA150" i="2" s="1"/>
  <c r="X151" i="2"/>
  <c r="Y151" i="2" s="1"/>
  <c r="AA151" i="2" s="1"/>
  <c r="X152" i="2"/>
  <c r="Y152" i="2" s="1"/>
  <c r="AA152" i="2" s="1"/>
  <c r="X153" i="2"/>
  <c r="Y153" i="2" s="1"/>
  <c r="AA153" i="2" s="1"/>
  <c r="X154" i="2"/>
  <c r="Y154" i="2" s="1"/>
  <c r="AA154" i="2" s="1"/>
  <c r="X155" i="2"/>
  <c r="Y155" i="2" s="1"/>
  <c r="AA155" i="2" s="1"/>
  <c r="X156" i="2"/>
  <c r="Y156" i="2" s="1"/>
  <c r="AA156" i="2" s="1"/>
  <c r="X157" i="2"/>
  <c r="Y157" i="2" s="1"/>
  <c r="AA157" i="2" s="1"/>
  <c r="X158" i="2"/>
  <c r="Y158" i="2" s="1"/>
  <c r="AA158" i="2" s="1"/>
  <c r="X159" i="2"/>
  <c r="Y159" i="2" s="1"/>
  <c r="AA159" i="2" s="1"/>
  <c r="X160" i="2"/>
  <c r="Y160" i="2" s="1"/>
  <c r="AA160" i="2" s="1"/>
  <c r="X161" i="2"/>
  <c r="Y161" i="2" s="1"/>
  <c r="AA161" i="2" s="1"/>
  <c r="X162" i="2"/>
  <c r="Y162" i="2" s="1"/>
  <c r="AA162" i="2" s="1"/>
  <c r="X163" i="2"/>
  <c r="Y163" i="2" s="1"/>
  <c r="AA163" i="2" s="1"/>
  <c r="X164" i="2"/>
  <c r="Y164" i="2" s="1"/>
  <c r="AA164" i="2" s="1"/>
  <c r="R187" i="2"/>
  <c r="R205" i="2"/>
  <c r="R207" i="2"/>
  <c r="R208" i="2"/>
  <c r="R209" i="2"/>
  <c r="X178" i="2"/>
  <c r="Y178" i="2" s="1"/>
  <c r="AA178" i="2" s="1"/>
  <c r="R204" i="2"/>
  <c r="X204" i="2"/>
  <c r="Y204" i="2" s="1"/>
  <c r="AA204" i="2" s="1"/>
  <c r="R486" i="2"/>
  <c r="Q527" i="2"/>
  <c r="S504" i="2"/>
  <c r="X490" i="2"/>
  <c r="Y490" i="2" s="1"/>
  <c r="AA490" i="2" s="1"/>
  <c r="X177" i="2"/>
  <c r="Y177" i="2" s="1"/>
  <c r="AA177" i="2" s="1"/>
  <c r="R188" i="2"/>
  <c r="R451" i="2"/>
  <c r="X451" i="2"/>
  <c r="Y451" i="2" s="1"/>
  <c r="AA451" i="2" s="1"/>
  <c r="R455" i="2"/>
  <c r="X455" i="2"/>
  <c r="Y455" i="2" s="1"/>
  <c r="AA455" i="2" s="1"/>
  <c r="R459" i="2"/>
  <c r="X459" i="2"/>
  <c r="Y459" i="2" s="1"/>
  <c r="AA459" i="2" s="1"/>
  <c r="R463" i="2"/>
  <c r="X463" i="2"/>
  <c r="Y463" i="2" s="1"/>
  <c r="AA463" i="2" s="1"/>
  <c r="R467" i="2"/>
  <c r="R471" i="2"/>
  <c r="R202" i="2"/>
  <c r="X176" i="2"/>
  <c r="Y176" i="2" s="1"/>
  <c r="AA176" i="2" s="1"/>
  <c r="R165" i="2"/>
  <c r="X166" i="2"/>
  <c r="Y166" i="2" s="1"/>
  <c r="AA166" i="2" s="1"/>
  <c r="R521" i="2"/>
  <c r="R197" i="2"/>
  <c r="R211" i="2"/>
  <c r="R247" i="2"/>
  <c r="R253" i="2"/>
  <c r="R254" i="2"/>
  <c r="R264" i="2"/>
  <c r="R285" i="2"/>
  <c r="R286" i="2"/>
  <c r="R292" i="2"/>
  <c r="R328" i="2"/>
  <c r="Q482" i="2"/>
  <c r="X491" i="2"/>
  <c r="Y491" i="2" s="1"/>
  <c r="AA491" i="2" s="1"/>
  <c r="X175" i="2"/>
  <c r="Y175" i="2" s="1"/>
  <c r="AA175" i="2" s="1"/>
  <c r="Q419" i="2"/>
  <c r="R419" i="2" s="1"/>
  <c r="R448" i="2"/>
  <c r="X448" i="2"/>
  <c r="R452" i="2"/>
  <c r="X452" i="2"/>
  <c r="Y452" i="2" s="1"/>
  <c r="AA452" i="2" s="1"/>
  <c r="R456" i="2"/>
  <c r="X456" i="2"/>
  <c r="Y456" i="2" s="1"/>
  <c r="AA456" i="2" s="1"/>
  <c r="R460" i="2"/>
  <c r="X460" i="2"/>
  <c r="Y460" i="2" s="1"/>
  <c r="AA460" i="2" s="1"/>
  <c r="R464" i="2"/>
  <c r="X464" i="2"/>
  <c r="Y464" i="2" s="1"/>
  <c r="AA464" i="2" s="1"/>
  <c r="R468" i="2"/>
  <c r="R167" i="2"/>
  <c r="X171" i="2"/>
  <c r="Y171" i="2" s="1"/>
  <c r="AA171" i="2" s="1"/>
  <c r="R178" i="2"/>
  <c r="R183" i="2"/>
  <c r="R234" i="2"/>
  <c r="X235" i="2"/>
  <c r="Y235" i="2" s="1"/>
  <c r="AA235" i="2" s="1"/>
  <c r="R239" i="2"/>
  <c r="R246" i="2"/>
  <c r="R260" i="2"/>
  <c r="R263" i="2"/>
  <c r="X266" i="2"/>
  <c r="Y266" i="2" s="1"/>
  <c r="AA266" i="2" s="1"/>
  <c r="R282" i="2"/>
  <c r="R284" i="2"/>
  <c r="R294" i="2"/>
  <c r="X344" i="2"/>
  <c r="Y344" i="2" s="1"/>
  <c r="AA344" i="2" s="1"/>
  <c r="X431" i="2"/>
  <c r="Y431" i="2" s="1"/>
  <c r="AA431" i="2" s="1"/>
  <c r="R489" i="2"/>
  <c r="P261" i="2"/>
  <c r="Q261" i="2" s="1"/>
  <c r="R261" i="2" s="1"/>
  <c r="X168" i="2"/>
  <c r="Y168" i="2" s="1"/>
  <c r="AA168" i="2" s="1"/>
  <c r="R172" i="2"/>
  <c r="R177" i="2"/>
  <c r="P181" i="2"/>
  <c r="Q181" i="2" s="1"/>
  <c r="Q230" i="2" s="1"/>
  <c r="R191" i="2"/>
  <c r="R245" i="2"/>
  <c r="R259" i="2"/>
  <c r="R262" i="2"/>
  <c r="X265" i="2"/>
  <c r="Y265" i="2" s="1"/>
  <c r="AA265" i="2" s="1"/>
  <c r="R281" i="2"/>
  <c r="R283" i="2"/>
  <c r="R295" i="2"/>
  <c r="R329" i="2"/>
  <c r="X330" i="2"/>
  <c r="Y330" i="2" s="1"/>
  <c r="AA330" i="2" s="1"/>
  <c r="R430" i="2"/>
  <c r="X293" i="2"/>
  <c r="Y293" i="2" s="1"/>
  <c r="AA293" i="2" s="1"/>
  <c r="X294" i="2"/>
  <c r="Y294" i="2" s="1"/>
  <c r="AA294" i="2" s="1"/>
  <c r="X295" i="2"/>
  <c r="Y295" i="2" s="1"/>
  <c r="AA295" i="2" s="1"/>
  <c r="X296" i="2"/>
  <c r="Y296" i="2" s="1"/>
  <c r="AA296" i="2" s="1"/>
  <c r="X393" i="2"/>
  <c r="Y393" i="2" s="1"/>
  <c r="AA393" i="2" s="1"/>
  <c r="P482" i="2"/>
  <c r="C67" i="1" s="1"/>
  <c r="AD67" i="1" s="1"/>
  <c r="Q485" i="2"/>
  <c r="P347" i="2"/>
  <c r="Q347" i="2" s="1"/>
  <c r="Q343" i="2" l="1"/>
  <c r="R343" i="2" s="1"/>
  <c r="X434" i="2"/>
  <c r="Y434" i="2" s="1"/>
  <c r="AA434" i="2" s="1"/>
  <c r="N62" i="4"/>
  <c r="O62" i="4" s="1"/>
  <c r="S62" i="4" s="1"/>
  <c r="S143" i="4"/>
  <c r="S21" i="4"/>
  <c r="S598" i="4"/>
  <c r="S451" i="4"/>
  <c r="S58" i="4"/>
  <c r="S462" i="4"/>
  <c r="S77" i="4"/>
  <c r="S109" i="4"/>
  <c r="S56" i="4"/>
  <c r="S128" i="4"/>
  <c r="S145" i="4"/>
  <c r="S447" i="4"/>
  <c r="S141" i="4"/>
  <c r="S53" i="4"/>
  <c r="S444" i="4"/>
  <c r="S107" i="4"/>
  <c r="S139" i="4"/>
  <c r="S89" i="4"/>
  <c r="S19" i="4"/>
  <c r="S41" i="4"/>
  <c r="S136" i="4"/>
  <c r="U61" i="4"/>
  <c r="M452" i="4"/>
  <c r="N451" i="4"/>
  <c r="O451" i="4" s="1"/>
  <c r="P451" i="4" s="1"/>
  <c r="Q14" i="2"/>
  <c r="M12" i="4"/>
  <c r="T12" i="4" s="1"/>
  <c r="M445" i="4"/>
  <c r="N444" i="4"/>
  <c r="O444" i="4" s="1"/>
  <c r="P444" i="4" s="1"/>
  <c r="P445" i="2"/>
  <c r="M441" i="4"/>
  <c r="T441" i="4" s="1"/>
  <c r="M42" i="4"/>
  <c r="N41" i="4"/>
  <c r="Q78" i="2"/>
  <c r="R78" i="2" s="1"/>
  <c r="T78" i="2" s="1"/>
  <c r="X78" i="2" s="1"/>
  <c r="Y78" i="2" s="1"/>
  <c r="AA78" i="2" s="1"/>
  <c r="M149" i="4"/>
  <c r="T149" i="4" s="1"/>
  <c r="M595" i="4"/>
  <c r="N595" i="4" s="1"/>
  <c r="M129" i="4"/>
  <c r="N128" i="4"/>
  <c r="O128" i="4" s="1"/>
  <c r="P128" i="4" s="1"/>
  <c r="N563" i="4"/>
  <c r="O563" i="4" s="1"/>
  <c r="P563" i="4" s="1"/>
  <c r="S563" i="4"/>
  <c r="T563" i="4" s="1"/>
  <c r="U563" i="4" s="1"/>
  <c r="M146" i="4"/>
  <c r="N145" i="4"/>
  <c r="O145" i="4" s="1"/>
  <c r="P145" i="4" s="1"/>
  <c r="M59" i="4"/>
  <c r="N58" i="4"/>
  <c r="O58" i="4" s="1"/>
  <c r="P58" i="4" s="1"/>
  <c r="M463" i="4"/>
  <c r="N462" i="4"/>
  <c r="O462" i="4" s="1"/>
  <c r="P462" i="4" s="1"/>
  <c r="M140" i="4"/>
  <c r="N139" i="4"/>
  <c r="M78" i="4"/>
  <c r="N77" i="4"/>
  <c r="M90" i="4"/>
  <c r="N89" i="4"/>
  <c r="M110" i="4"/>
  <c r="N109" i="4"/>
  <c r="O109" i="4" s="1"/>
  <c r="P109" i="4" s="1"/>
  <c r="M20" i="4"/>
  <c r="N19" i="4"/>
  <c r="O19" i="4" s="1"/>
  <c r="P19" i="4" s="1"/>
  <c r="M57" i="4"/>
  <c r="N56" i="4"/>
  <c r="O56" i="4" s="1"/>
  <c r="P56" i="4" s="1"/>
  <c r="Q92" i="2"/>
  <c r="M126" i="4"/>
  <c r="T126" i="4" s="1"/>
  <c r="M137" i="4"/>
  <c r="N136" i="4"/>
  <c r="M594" i="4"/>
  <c r="N594" i="4" s="1"/>
  <c r="M108" i="4"/>
  <c r="M564" i="4"/>
  <c r="N564" i="4" s="1"/>
  <c r="O564" i="4" s="1"/>
  <c r="P564" i="4" s="1"/>
  <c r="Q564" i="4" s="1"/>
  <c r="S564" i="4" s="1"/>
  <c r="T564" i="4" s="1"/>
  <c r="U564" i="4" s="1"/>
  <c r="N107" i="4"/>
  <c r="O107" i="4" s="1"/>
  <c r="P107" i="4" s="1"/>
  <c r="M576" i="4"/>
  <c r="N576" i="4" s="1"/>
  <c r="O576" i="4" s="1"/>
  <c r="N575" i="4"/>
  <c r="O575" i="4" s="1"/>
  <c r="P575" i="4" s="1"/>
  <c r="S575" i="4"/>
  <c r="T575" i="4" s="1"/>
  <c r="U575" i="4" s="1"/>
  <c r="N104" i="4"/>
  <c r="M591" i="4"/>
  <c r="N591" i="4" s="1"/>
  <c r="Q95" i="2"/>
  <c r="R95" i="2" s="1"/>
  <c r="V95" i="2" s="1"/>
  <c r="M113" i="4"/>
  <c r="T113" i="4" s="1"/>
  <c r="Q40" i="2"/>
  <c r="Q52" i="2" s="1"/>
  <c r="M51" i="4"/>
  <c r="T51" i="4" s="1"/>
  <c r="Q11" i="2"/>
  <c r="M147" i="4"/>
  <c r="T147" i="4" s="1"/>
  <c r="M448" i="4"/>
  <c r="N447" i="4"/>
  <c r="M144" i="4"/>
  <c r="N143" i="4"/>
  <c r="O143" i="4" s="1"/>
  <c r="P143" i="4" s="1"/>
  <c r="M142" i="4"/>
  <c r="N141" i="4"/>
  <c r="O141" i="4" s="1"/>
  <c r="P141" i="4" s="1"/>
  <c r="M22" i="4"/>
  <c r="N21" i="4"/>
  <c r="O21" i="4" s="1"/>
  <c r="P21" i="4" s="1"/>
  <c r="M561" i="4"/>
  <c r="N561" i="4" s="1"/>
  <c r="O561" i="4" s="1"/>
  <c r="P561" i="4" s="1"/>
  <c r="Q561" i="4" s="1"/>
  <c r="N560" i="4"/>
  <c r="O560" i="4" s="1"/>
  <c r="P560" i="4" s="1"/>
  <c r="S560" i="4"/>
  <c r="T560" i="4" s="1"/>
  <c r="U560" i="4" s="1"/>
  <c r="M599" i="4"/>
  <c r="N598" i="4"/>
  <c r="O598" i="4" s="1"/>
  <c r="P598" i="4" s="1"/>
  <c r="M54" i="4"/>
  <c r="N53" i="4"/>
  <c r="O53" i="4" s="1"/>
  <c r="P53" i="4" s="1"/>
  <c r="Q94" i="2"/>
  <c r="M111" i="4"/>
  <c r="T111" i="4" s="1"/>
  <c r="N119" i="2"/>
  <c r="AR195" i="2"/>
  <c r="N504" i="2"/>
  <c r="T123" i="2"/>
  <c r="AR182" i="2"/>
  <c r="AL343" i="2"/>
  <c r="AP343" i="2"/>
  <c r="AJ493" i="2"/>
  <c r="AP493" i="2" s="1"/>
  <c r="AR186" i="2"/>
  <c r="AL174" i="2"/>
  <c r="AP201" i="2"/>
  <c r="AL201" i="2"/>
  <c r="AL94" i="2"/>
  <c r="AJ419" i="2"/>
  <c r="AJ445" i="2" s="1"/>
  <c r="AJ243" i="2"/>
  <c r="AL243" i="2" s="1"/>
  <c r="AP213" i="2"/>
  <c r="AL213" i="2"/>
  <c r="AP205" i="2"/>
  <c r="AL205" i="2"/>
  <c r="AL344" i="2"/>
  <c r="AL199" i="2"/>
  <c r="AL177" i="2"/>
  <c r="AJ181" i="2"/>
  <c r="AJ230" i="2" s="1"/>
  <c r="AL211" i="2"/>
  <c r="AL208" i="2"/>
  <c r="AL197" i="2"/>
  <c r="AP392" i="2"/>
  <c r="AJ397" i="2"/>
  <c r="AL178" i="2"/>
  <c r="AL342" i="2"/>
  <c r="AL215" i="2"/>
  <c r="AL212" i="2"/>
  <c r="AL207" i="2"/>
  <c r="AL204" i="2"/>
  <c r="AL196" i="2"/>
  <c r="AL92" i="2"/>
  <c r="AL193" i="2"/>
  <c r="AL175" i="2"/>
  <c r="AJ95" i="2"/>
  <c r="AJ102" i="2" s="1"/>
  <c r="AJ261" i="2"/>
  <c r="AP261" i="2" s="1"/>
  <c r="AJ78" i="2"/>
  <c r="AL78" i="2" s="1"/>
  <c r="AJ347" i="2"/>
  <c r="AJ327" i="2"/>
  <c r="AJ339" i="2" s="1"/>
  <c r="AJ40" i="2"/>
  <c r="AJ52" i="2" s="1"/>
  <c r="AL202" i="2"/>
  <c r="AL200" i="2"/>
  <c r="AL93" i="2"/>
  <c r="AL194" i="2"/>
  <c r="AL176" i="2"/>
  <c r="AP344" i="2"/>
  <c r="AP209" i="2"/>
  <c r="AL209" i="2"/>
  <c r="AP199" i="2"/>
  <c r="AL393" i="2"/>
  <c r="AL458" i="2"/>
  <c r="AL450" i="2"/>
  <c r="AP482" i="2"/>
  <c r="AP432" i="2"/>
  <c r="AL432" i="2"/>
  <c r="AL430" i="2"/>
  <c r="AL423" i="2"/>
  <c r="AL415" i="2"/>
  <c r="AL407" i="2"/>
  <c r="AP291" i="2"/>
  <c r="AL291" i="2"/>
  <c r="AL287" i="2"/>
  <c r="AL283" i="2"/>
  <c r="AL168" i="2"/>
  <c r="AL73" i="2"/>
  <c r="AL25" i="2"/>
  <c r="AL19" i="2"/>
  <c r="AP330" i="2"/>
  <c r="AL330" i="2"/>
  <c r="AL246" i="2"/>
  <c r="AL244" i="2"/>
  <c r="AL190" i="2"/>
  <c r="AL183" i="2"/>
  <c r="AL12" i="2"/>
  <c r="AL457" i="2"/>
  <c r="AL449" i="2"/>
  <c r="AL422" i="2"/>
  <c r="AL420" i="2"/>
  <c r="AL412" i="2"/>
  <c r="AL404" i="2"/>
  <c r="AL292" i="2"/>
  <c r="AL284" i="2"/>
  <c r="AL171" i="2"/>
  <c r="AL163" i="2"/>
  <c r="AL155" i="2"/>
  <c r="AL147" i="2"/>
  <c r="AL139" i="2"/>
  <c r="AL131" i="2"/>
  <c r="AL123" i="2"/>
  <c r="AR121" i="2"/>
  <c r="AL74" i="2"/>
  <c r="AL21" i="2"/>
  <c r="AL14" i="2"/>
  <c r="AJ11" i="2"/>
  <c r="AP11" i="2"/>
  <c r="AL487" i="2"/>
  <c r="AL349" i="2"/>
  <c r="AP260" i="2"/>
  <c r="AL260" i="2"/>
  <c r="AL249" i="2"/>
  <c r="AL247" i="2"/>
  <c r="AL191" i="2"/>
  <c r="AL426" i="2"/>
  <c r="AL417" i="2"/>
  <c r="AL409" i="2"/>
  <c r="AL402" i="2"/>
  <c r="AL289" i="2"/>
  <c r="AL166" i="2"/>
  <c r="AL75" i="2"/>
  <c r="AL23" i="2"/>
  <c r="AL488" i="2"/>
  <c r="AP269" i="2"/>
  <c r="AL269" i="2"/>
  <c r="AL267" i="2"/>
  <c r="AL250" i="2"/>
  <c r="AL248" i="2"/>
  <c r="AL233" i="2"/>
  <c r="AL188" i="2"/>
  <c r="AL180" i="2"/>
  <c r="AL431" i="2"/>
  <c r="AL414" i="2"/>
  <c r="AL406" i="2"/>
  <c r="AL290" i="2"/>
  <c r="AL288" i="2"/>
  <c r="AL169" i="2"/>
  <c r="AL22" i="2"/>
  <c r="AL491" i="2"/>
  <c r="AP329" i="2"/>
  <c r="AL329" i="2"/>
  <c r="AL266" i="2"/>
  <c r="AL255" i="2"/>
  <c r="AL251" i="2"/>
  <c r="AL239" i="2"/>
  <c r="AL234" i="2"/>
  <c r="AL189" i="2"/>
  <c r="AR497" i="2"/>
  <c r="AL470" i="2"/>
  <c r="AL468" i="2"/>
  <c r="AL464" i="2"/>
  <c r="AL462" i="2"/>
  <c r="AL460" i="2"/>
  <c r="AL456" i="2"/>
  <c r="AL454" i="2"/>
  <c r="AL452" i="2"/>
  <c r="AJ482" i="2"/>
  <c r="AL448" i="2"/>
  <c r="AP428" i="2"/>
  <c r="AL428" i="2"/>
  <c r="AL411" i="2"/>
  <c r="AL403" i="2"/>
  <c r="AP295" i="2"/>
  <c r="AL295" i="2"/>
  <c r="AL293" i="2"/>
  <c r="AL172" i="2"/>
  <c r="AL164" i="2"/>
  <c r="AL160" i="2"/>
  <c r="AL158" i="2"/>
  <c r="AL156" i="2"/>
  <c r="AL152" i="2"/>
  <c r="AL150" i="2"/>
  <c r="AL148" i="2"/>
  <c r="AL144" i="2"/>
  <c r="AL142" i="2"/>
  <c r="AL140" i="2"/>
  <c r="AL136" i="2"/>
  <c r="AL134" i="2"/>
  <c r="AL132" i="2"/>
  <c r="AL128" i="2"/>
  <c r="AL126" i="2"/>
  <c r="AL124" i="2"/>
  <c r="AL18" i="2"/>
  <c r="AL91" i="2"/>
  <c r="AP490" i="2"/>
  <c r="AL490" i="2"/>
  <c r="AL348" i="2"/>
  <c r="AL346" i="2"/>
  <c r="AP265" i="2"/>
  <c r="AL265" i="2"/>
  <c r="AL263" i="2"/>
  <c r="AL257" i="2"/>
  <c r="AL240" i="2"/>
  <c r="AL235" i="2"/>
  <c r="AL45" i="2"/>
  <c r="AL43" i="2"/>
  <c r="AL471" i="2"/>
  <c r="AL469" i="2"/>
  <c r="AL467" i="2"/>
  <c r="AL463" i="2"/>
  <c r="AL461" i="2"/>
  <c r="AL459" i="2"/>
  <c r="AL455" i="2"/>
  <c r="AL453" i="2"/>
  <c r="AL451" i="2"/>
  <c r="AP433" i="2"/>
  <c r="AL433" i="2"/>
  <c r="AL425" i="2"/>
  <c r="AL416" i="2"/>
  <c r="AL408" i="2"/>
  <c r="AL296" i="2"/>
  <c r="AL167" i="2"/>
  <c r="AL76" i="2"/>
  <c r="AP489" i="2"/>
  <c r="AL489" i="2"/>
  <c r="AP349" i="2"/>
  <c r="AP268" i="2"/>
  <c r="AL268" i="2"/>
  <c r="AL262" i="2"/>
  <c r="AL256" i="2"/>
  <c r="AL253" i="2"/>
  <c r="AL241" i="2"/>
  <c r="AL236" i="2"/>
  <c r="AL187" i="2"/>
  <c r="AL492" i="2"/>
  <c r="AP494" i="2"/>
  <c r="AL494" i="2"/>
  <c r="AL466" i="2"/>
  <c r="AL434" i="2"/>
  <c r="AL421" i="2"/>
  <c r="AL413" i="2"/>
  <c r="AL405" i="2"/>
  <c r="AL285" i="2"/>
  <c r="AL281" i="2"/>
  <c r="AJ324" i="2"/>
  <c r="AL170" i="2"/>
  <c r="AL162" i="2"/>
  <c r="AL154" i="2"/>
  <c r="AL146" i="2"/>
  <c r="AL138" i="2"/>
  <c r="AL130" i="2"/>
  <c r="AL122" i="2"/>
  <c r="AL79" i="2"/>
  <c r="AL77" i="2"/>
  <c r="AL486" i="2"/>
  <c r="AL328" i="2"/>
  <c r="AL261" i="2"/>
  <c r="AL259" i="2"/>
  <c r="AL254" i="2"/>
  <c r="AL242" i="2"/>
  <c r="AL238" i="2"/>
  <c r="AL185" i="2"/>
  <c r="AL41" i="2"/>
  <c r="AL465" i="2"/>
  <c r="AP429" i="2"/>
  <c r="AL429" i="2"/>
  <c r="AL427" i="2"/>
  <c r="AL418" i="2"/>
  <c r="AL410" i="2"/>
  <c r="AL401" i="2"/>
  <c r="AL294" i="2"/>
  <c r="AL286" i="2"/>
  <c r="AL282" i="2"/>
  <c r="AL165" i="2"/>
  <c r="AL161" i="2"/>
  <c r="AL159" i="2"/>
  <c r="AL157" i="2"/>
  <c r="AL153" i="2"/>
  <c r="AL151" i="2"/>
  <c r="AL149" i="2"/>
  <c r="AL145" i="2"/>
  <c r="AL143" i="2"/>
  <c r="AL141" i="2"/>
  <c r="AL137" i="2"/>
  <c r="AL135" i="2"/>
  <c r="AL133" i="2"/>
  <c r="AL129" i="2"/>
  <c r="AL127" i="2"/>
  <c r="AL125" i="2"/>
  <c r="AL72" i="2"/>
  <c r="AL24" i="2"/>
  <c r="AL20" i="2"/>
  <c r="AL13" i="2"/>
  <c r="AP491" i="2"/>
  <c r="AL485" i="2"/>
  <c r="AP264" i="2"/>
  <c r="AL264" i="2"/>
  <c r="AL258" i="2"/>
  <c r="AL245" i="2"/>
  <c r="AL184" i="2"/>
  <c r="AL44" i="2"/>
  <c r="AL42" i="2"/>
  <c r="AP46" i="2"/>
  <c r="AR46" i="2" s="1"/>
  <c r="AB472" i="2"/>
  <c r="AC472" i="2" s="1"/>
  <c r="AR472" i="2" s="1"/>
  <c r="N389" i="2"/>
  <c r="C41" i="1"/>
  <c r="AD41" i="1" s="1"/>
  <c r="T193" i="2"/>
  <c r="X193" i="2" s="1"/>
  <c r="Y193" i="2" s="1"/>
  <c r="AA193" i="2" s="1"/>
  <c r="V40" i="2"/>
  <c r="X243" i="2"/>
  <c r="Y243" i="2" s="1"/>
  <c r="AA243" i="2" s="1"/>
  <c r="Q37" i="2"/>
  <c r="X40" i="2"/>
  <c r="Y40" i="2" s="1"/>
  <c r="AB404" i="2"/>
  <c r="AC404" i="2" s="1"/>
  <c r="AN404" i="2" s="1"/>
  <c r="AR404" i="2" s="1"/>
  <c r="T154" i="2"/>
  <c r="AB174" i="2"/>
  <c r="AC174" i="2" s="1"/>
  <c r="T174" i="2"/>
  <c r="P230" i="2"/>
  <c r="T414" i="2"/>
  <c r="V150" i="2"/>
  <c r="AB150" i="2" s="1"/>
  <c r="AC150" i="2" s="1"/>
  <c r="AB408" i="2"/>
  <c r="AC408" i="2" s="1"/>
  <c r="AN408" i="2" s="1"/>
  <c r="AR408" i="2" s="1"/>
  <c r="P102" i="2"/>
  <c r="T427" i="2"/>
  <c r="X427" i="2" s="1"/>
  <c r="Y427" i="2" s="1"/>
  <c r="AA427" i="2" s="1"/>
  <c r="AB427" i="2" s="1"/>
  <c r="AC427" i="2" s="1"/>
  <c r="AR427" i="2" s="1"/>
  <c r="V164" i="2"/>
  <c r="AB164" i="2" s="1"/>
  <c r="AC164" i="2" s="1"/>
  <c r="AN164" i="2" s="1"/>
  <c r="AR164" i="2" s="1"/>
  <c r="V134" i="2"/>
  <c r="AB134" i="2" s="1"/>
  <c r="AC134" i="2" s="1"/>
  <c r="AB418" i="2"/>
  <c r="AC418" i="2" s="1"/>
  <c r="V160" i="2"/>
  <c r="AB160" i="2" s="1"/>
  <c r="AC160" i="2" s="1"/>
  <c r="AN160" i="2" s="1"/>
  <c r="AR160" i="2" s="1"/>
  <c r="V170" i="2"/>
  <c r="AB170" i="2" s="1"/>
  <c r="AC170" i="2" s="1"/>
  <c r="P52" i="2"/>
  <c r="AB409" i="2"/>
  <c r="AC409" i="2" s="1"/>
  <c r="T159" i="2"/>
  <c r="Q327" i="2"/>
  <c r="Q339" i="2" s="1"/>
  <c r="T411" i="2"/>
  <c r="V136" i="2"/>
  <c r="AB136" i="2" s="1"/>
  <c r="AC136" i="2" s="1"/>
  <c r="AN136" i="2" s="1"/>
  <c r="AR136" i="2" s="1"/>
  <c r="V420" i="2"/>
  <c r="AB420" i="2" s="1"/>
  <c r="AC420" i="2" s="1"/>
  <c r="AN420" i="2" s="1"/>
  <c r="AR420" i="2" s="1"/>
  <c r="V243" i="2"/>
  <c r="V129" i="2"/>
  <c r="AB129" i="2" s="1"/>
  <c r="AC129" i="2" s="1"/>
  <c r="AN129" i="2" s="1"/>
  <c r="AR129" i="2" s="1"/>
  <c r="T138" i="2"/>
  <c r="V393" i="2"/>
  <c r="AB393" i="2" s="1"/>
  <c r="AC393" i="2" s="1"/>
  <c r="T93" i="2"/>
  <c r="X93" i="2" s="1"/>
  <c r="Y93" i="2" s="1"/>
  <c r="AA93" i="2" s="1"/>
  <c r="AB93" i="2" s="1"/>
  <c r="AC93" i="2" s="1"/>
  <c r="V249" i="2"/>
  <c r="AB249" i="2" s="1"/>
  <c r="AC249" i="2" s="1"/>
  <c r="T429" i="2"/>
  <c r="X429" i="2" s="1"/>
  <c r="Y429" i="2" s="1"/>
  <c r="AA429" i="2" s="1"/>
  <c r="AB429" i="2" s="1"/>
  <c r="AC429" i="2" s="1"/>
  <c r="T92" i="2"/>
  <c r="X92" i="2" s="1"/>
  <c r="Y92" i="2" s="1"/>
  <c r="AA92" i="2" s="1"/>
  <c r="AB92" i="2" s="1"/>
  <c r="AC92" i="2" s="1"/>
  <c r="AB417" i="2"/>
  <c r="AC417" i="2" s="1"/>
  <c r="AB526" i="2"/>
  <c r="AC526" i="2" s="1"/>
  <c r="V423" i="2"/>
  <c r="AB423" i="2" s="1"/>
  <c r="AC423" i="2" s="1"/>
  <c r="AN423" i="2" s="1"/>
  <c r="AR423" i="2" s="1"/>
  <c r="V487" i="2"/>
  <c r="AB487" i="2" s="1"/>
  <c r="AC487" i="2" s="1"/>
  <c r="T149" i="2"/>
  <c r="V131" i="2"/>
  <c r="AB131" i="2" s="1"/>
  <c r="AC131" i="2" s="1"/>
  <c r="AN131" i="2" s="1"/>
  <c r="T199" i="2"/>
  <c r="X199" i="2" s="1"/>
  <c r="Y199" i="2" s="1"/>
  <c r="AA199" i="2" s="1"/>
  <c r="AB199" i="2" s="1"/>
  <c r="AC199" i="2" s="1"/>
  <c r="AR199" i="2" s="1"/>
  <c r="V426" i="2"/>
  <c r="AB426" i="2" s="1"/>
  <c r="AC426" i="2" s="1"/>
  <c r="V402" i="2"/>
  <c r="AB402" i="2" s="1"/>
  <c r="AC402" i="2" s="1"/>
  <c r="T156" i="2"/>
  <c r="V148" i="2"/>
  <c r="AB148" i="2" s="1"/>
  <c r="AC148" i="2" s="1"/>
  <c r="AN148" i="2" s="1"/>
  <c r="AR148" i="2" s="1"/>
  <c r="V537" i="2"/>
  <c r="AB537" i="2" s="1"/>
  <c r="AC537" i="2" s="1"/>
  <c r="V125" i="2"/>
  <c r="AB125" i="2" s="1"/>
  <c r="AC125" i="2" s="1"/>
  <c r="AN125" i="2" s="1"/>
  <c r="AR125" i="2" s="1"/>
  <c r="AB411" i="2"/>
  <c r="AC411" i="2" s="1"/>
  <c r="AN411" i="2" s="1"/>
  <c r="AR411" i="2" s="1"/>
  <c r="V248" i="2"/>
  <c r="AB248" i="2" s="1"/>
  <c r="AC248" i="2" s="1"/>
  <c r="AN248" i="2" s="1"/>
  <c r="AR248" i="2" s="1"/>
  <c r="T171" i="2"/>
  <c r="V166" i="2"/>
  <c r="AB166" i="2" s="1"/>
  <c r="AC166" i="2" s="1"/>
  <c r="X493" i="2"/>
  <c r="Y493" i="2" s="1"/>
  <c r="AA493" i="2" s="1"/>
  <c r="AB493" i="2" s="1"/>
  <c r="AC493" i="2" s="1"/>
  <c r="P502" i="2"/>
  <c r="Q502" i="2"/>
  <c r="AB171" i="2"/>
  <c r="AC171" i="2" s="1"/>
  <c r="AN171" i="2" s="1"/>
  <c r="AR171" i="2" s="1"/>
  <c r="AB414" i="2"/>
  <c r="AC414" i="2" s="1"/>
  <c r="V413" i="2"/>
  <c r="AB413" i="2" s="1"/>
  <c r="AC413" i="2" s="1"/>
  <c r="V406" i="2"/>
  <c r="AB406" i="2" s="1"/>
  <c r="AC406" i="2" s="1"/>
  <c r="V244" i="2"/>
  <c r="AB244" i="2" s="1"/>
  <c r="AC244" i="2" s="1"/>
  <c r="AN244" i="2" s="1"/>
  <c r="AR244" i="2" s="1"/>
  <c r="V44" i="2"/>
  <c r="AB44" i="2" s="1"/>
  <c r="AC44" i="2" s="1"/>
  <c r="V161" i="2"/>
  <c r="AB161" i="2" s="1"/>
  <c r="AC161" i="2" s="1"/>
  <c r="AN161" i="2" s="1"/>
  <c r="AR161" i="2" s="1"/>
  <c r="V158" i="2"/>
  <c r="AB158" i="2" s="1"/>
  <c r="AC158" i="2" s="1"/>
  <c r="V255" i="2"/>
  <c r="AB255" i="2" s="1"/>
  <c r="AC255" i="2" s="1"/>
  <c r="AN255" i="2" s="1"/>
  <c r="AR255" i="2" s="1"/>
  <c r="T404" i="2"/>
  <c r="T168" i="2"/>
  <c r="V267" i="2"/>
  <c r="AB267" i="2" s="1"/>
  <c r="AC267" i="2" s="1"/>
  <c r="AR267" i="2" s="1"/>
  <c r="V140" i="2"/>
  <c r="AB140" i="2" s="1"/>
  <c r="AC140" i="2" s="1"/>
  <c r="AN140" i="2" s="1"/>
  <c r="AR140" i="2" s="1"/>
  <c r="V126" i="2"/>
  <c r="AB126" i="2" s="1"/>
  <c r="AC126" i="2" s="1"/>
  <c r="AB180" i="2"/>
  <c r="AC180" i="2" s="1"/>
  <c r="AN180" i="2" s="1"/>
  <c r="AR180" i="2" s="1"/>
  <c r="R502" i="2"/>
  <c r="T488" i="2"/>
  <c r="X488" i="2" s="1"/>
  <c r="Y488" i="2" s="1"/>
  <c r="AA488" i="2" s="1"/>
  <c r="AB488" i="2" s="1"/>
  <c r="AC488" i="2" s="1"/>
  <c r="AN488" i="2" s="1"/>
  <c r="AR488" i="2" s="1"/>
  <c r="T18" i="2"/>
  <c r="X18" i="2" s="1"/>
  <c r="Y18" i="2" s="1"/>
  <c r="AA18" i="2" s="1"/>
  <c r="AB18" i="2" s="1"/>
  <c r="AC18" i="2" s="1"/>
  <c r="V431" i="2"/>
  <c r="AB431" i="2" s="1"/>
  <c r="AC431" i="2" s="1"/>
  <c r="AR431" i="2" s="1"/>
  <c r="T527" i="2"/>
  <c r="T415" i="2"/>
  <c r="AB401" i="2"/>
  <c r="AC401" i="2" s="1"/>
  <c r="V257" i="2"/>
  <c r="AB257" i="2" s="1"/>
  <c r="AC257" i="2" s="1"/>
  <c r="T288" i="2"/>
  <c r="X288" i="2" s="1"/>
  <c r="Y288" i="2" s="1"/>
  <c r="AA288" i="2" s="1"/>
  <c r="AB288" i="2" s="1"/>
  <c r="AC288" i="2" s="1"/>
  <c r="AN288" i="2" s="1"/>
  <c r="V269" i="2"/>
  <c r="AB269" i="2" s="1"/>
  <c r="AC269" i="2" s="1"/>
  <c r="AB235" i="2"/>
  <c r="AC235" i="2" s="1"/>
  <c r="AN235" i="2" s="1"/>
  <c r="AR235" i="2" s="1"/>
  <c r="V256" i="2"/>
  <c r="AB256" i="2" s="1"/>
  <c r="AC256" i="2" s="1"/>
  <c r="AN256" i="2" s="1"/>
  <c r="AR256" i="2" s="1"/>
  <c r="V348" i="2"/>
  <c r="AB348" i="2" s="1"/>
  <c r="AC348" i="2" s="1"/>
  <c r="AN348" i="2" s="1"/>
  <c r="AR348" i="2" s="1"/>
  <c r="V410" i="2"/>
  <c r="AB410" i="2" s="1"/>
  <c r="AC410" i="2" s="1"/>
  <c r="V342" i="2"/>
  <c r="T409" i="2"/>
  <c r="T235" i="2"/>
  <c r="V433" i="2"/>
  <c r="AB433" i="2" s="1"/>
  <c r="AC433" i="2" s="1"/>
  <c r="T422" i="2"/>
  <c r="X422" i="2" s="1"/>
  <c r="Y422" i="2" s="1"/>
  <c r="AA422" i="2" s="1"/>
  <c r="AB422" i="2" s="1"/>
  <c r="AC422" i="2" s="1"/>
  <c r="V201" i="2"/>
  <c r="AB201" i="2" s="1"/>
  <c r="AC201" i="2" s="1"/>
  <c r="T130" i="2"/>
  <c r="V124" i="2"/>
  <c r="AB124" i="2" s="1"/>
  <c r="AC124" i="2" s="1"/>
  <c r="AN124" i="2" s="1"/>
  <c r="AR124" i="2" s="1"/>
  <c r="T240" i="2"/>
  <c r="X240" i="2" s="1"/>
  <c r="Y240" i="2" s="1"/>
  <c r="AA240" i="2" s="1"/>
  <c r="AB240" i="2" s="1"/>
  <c r="V215" i="2"/>
  <c r="AB215" i="2" s="1"/>
  <c r="AC215" i="2" s="1"/>
  <c r="AR215" i="2" s="1"/>
  <c r="T175" i="2"/>
  <c r="AB416" i="2"/>
  <c r="AC416" i="2" s="1"/>
  <c r="AN416" i="2" s="1"/>
  <c r="AR416" i="2" s="1"/>
  <c r="T526" i="2"/>
  <c r="V25" i="2"/>
  <c r="AB25" i="2" s="1"/>
  <c r="AC25" i="2" s="1"/>
  <c r="V163" i="2"/>
  <c r="AB163" i="2" s="1"/>
  <c r="AC163" i="2" s="1"/>
  <c r="AN163" i="2" s="1"/>
  <c r="AR163" i="2" s="1"/>
  <c r="T139" i="2"/>
  <c r="T417" i="2"/>
  <c r="T403" i="2"/>
  <c r="V213" i="2"/>
  <c r="AB213" i="2" s="1"/>
  <c r="AC213" i="2" s="1"/>
  <c r="T412" i="2"/>
  <c r="T266" i="2"/>
  <c r="V196" i="2"/>
  <c r="AB196" i="2" s="1"/>
  <c r="AC196" i="2" s="1"/>
  <c r="AN196" i="2" s="1"/>
  <c r="AR196" i="2" s="1"/>
  <c r="T152" i="2"/>
  <c r="T142" i="2"/>
  <c r="T519" i="2"/>
  <c r="V212" i="2"/>
  <c r="AB212" i="2" s="1"/>
  <c r="AC212" i="2" s="1"/>
  <c r="AR212" i="2" s="1"/>
  <c r="T251" i="2"/>
  <c r="X251" i="2" s="1"/>
  <c r="Y251" i="2" s="1"/>
  <c r="AA251" i="2" s="1"/>
  <c r="AB251" i="2" s="1"/>
  <c r="AC251" i="2" s="1"/>
  <c r="AN251" i="2" s="1"/>
  <c r="AR251" i="2" s="1"/>
  <c r="AB349" i="2"/>
  <c r="AC349" i="2" s="1"/>
  <c r="V291" i="2"/>
  <c r="AB291" i="2" s="1"/>
  <c r="AC291" i="2" s="1"/>
  <c r="AR291" i="2" s="1"/>
  <c r="T289" i="2"/>
  <c r="X289" i="2" s="1"/>
  <c r="Y289" i="2" s="1"/>
  <c r="AA289" i="2" s="1"/>
  <c r="AB289" i="2" s="1"/>
  <c r="AC289" i="2" s="1"/>
  <c r="AB412" i="2"/>
  <c r="AC412" i="2" s="1"/>
  <c r="AN412" i="2" s="1"/>
  <c r="AR412" i="2" s="1"/>
  <c r="T41" i="2"/>
  <c r="X41" i="2" s="1"/>
  <c r="Y41" i="2" s="1"/>
  <c r="AA41" i="2" s="1"/>
  <c r="AB41" i="2" s="1"/>
  <c r="AC41" i="2" s="1"/>
  <c r="AN41" i="2" s="1"/>
  <c r="AR41" i="2" s="1"/>
  <c r="T494" i="2"/>
  <c r="T42" i="2"/>
  <c r="X42" i="2" s="1"/>
  <c r="Y42" i="2" s="1"/>
  <c r="AA42" i="2" s="1"/>
  <c r="AB42" i="2" s="1"/>
  <c r="AC42" i="2" s="1"/>
  <c r="AN42" i="2" s="1"/>
  <c r="AR42" i="2" s="1"/>
  <c r="V346" i="2"/>
  <c r="AB346" i="2" s="1"/>
  <c r="AC346" i="2" s="1"/>
  <c r="AN346" i="2" s="1"/>
  <c r="AR346" i="2" s="1"/>
  <c r="R52" i="2"/>
  <c r="AB139" i="2"/>
  <c r="AC139" i="2" s="1"/>
  <c r="AN139" i="2" s="1"/>
  <c r="AR139" i="2" s="1"/>
  <c r="AB403" i="2"/>
  <c r="AC403" i="2" s="1"/>
  <c r="AN403" i="2" s="1"/>
  <c r="AR403" i="2" s="1"/>
  <c r="AB175" i="2"/>
  <c r="AC175" i="2" s="1"/>
  <c r="AN175" i="2" s="1"/>
  <c r="AR175" i="2" s="1"/>
  <c r="AB415" i="2"/>
  <c r="AC415" i="2" s="1"/>
  <c r="AN415" i="2" s="1"/>
  <c r="AR415" i="2" s="1"/>
  <c r="V432" i="2"/>
  <c r="AB432" i="2" s="1"/>
  <c r="AC432" i="2" s="1"/>
  <c r="AB159" i="2"/>
  <c r="AC159" i="2" s="1"/>
  <c r="AN159" i="2" s="1"/>
  <c r="AR159" i="2" s="1"/>
  <c r="T23" i="2"/>
  <c r="X23" i="2" s="1"/>
  <c r="Y23" i="2" s="1"/>
  <c r="AA23" i="2" s="1"/>
  <c r="AB23" i="2" s="1"/>
  <c r="AC23" i="2" s="1"/>
  <c r="AN23" i="2" s="1"/>
  <c r="T185" i="2"/>
  <c r="X185" i="2" s="1"/>
  <c r="Y185" i="2" s="1"/>
  <c r="AA185" i="2" s="1"/>
  <c r="AB185" i="2" s="1"/>
  <c r="AC185" i="2" s="1"/>
  <c r="V428" i="2"/>
  <c r="AB428" i="2" s="1"/>
  <c r="AC428" i="2" s="1"/>
  <c r="V517" i="2"/>
  <c r="T176" i="2"/>
  <c r="V541" i="2"/>
  <c r="AB541" i="2" s="1"/>
  <c r="AC541" i="2" s="1"/>
  <c r="AB494" i="2"/>
  <c r="AC494" i="2" s="1"/>
  <c r="Q356" i="2"/>
  <c r="T418" i="2"/>
  <c r="V405" i="2"/>
  <c r="AB405" i="2" s="1"/>
  <c r="AC405" i="2" s="1"/>
  <c r="V153" i="2"/>
  <c r="AB153" i="2" s="1"/>
  <c r="AC153" i="2" s="1"/>
  <c r="AN153" i="2" s="1"/>
  <c r="AR153" i="2" s="1"/>
  <c r="T94" i="2"/>
  <c r="X94" i="2" s="1"/>
  <c r="Y94" i="2" s="1"/>
  <c r="AA94" i="2" s="1"/>
  <c r="AB94" i="2" s="1"/>
  <c r="AC94" i="2" s="1"/>
  <c r="AN94" i="2" s="1"/>
  <c r="AR94" i="2" s="1"/>
  <c r="AB123" i="2"/>
  <c r="AC123" i="2" s="1"/>
  <c r="AN123" i="2" s="1"/>
  <c r="AR123" i="2" s="1"/>
  <c r="V194" i="2"/>
  <c r="AB194" i="2" s="1"/>
  <c r="AC194" i="2" s="1"/>
  <c r="V258" i="2"/>
  <c r="AB258" i="2" s="1"/>
  <c r="AC258" i="2" s="1"/>
  <c r="AN258" i="2" s="1"/>
  <c r="T43" i="2"/>
  <c r="X43" i="2" s="1"/>
  <c r="Y43" i="2" s="1"/>
  <c r="AA43" i="2" s="1"/>
  <c r="AB43" i="2" s="1"/>
  <c r="AC43" i="2" s="1"/>
  <c r="AN43" i="2" s="1"/>
  <c r="AB149" i="2"/>
  <c r="AC149" i="2" s="1"/>
  <c r="AN149" i="2" s="1"/>
  <c r="AR149" i="2" s="1"/>
  <c r="V24" i="2"/>
  <c r="AB24" i="2" s="1"/>
  <c r="AC24" i="2" s="1"/>
  <c r="T143" i="2"/>
  <c r="T293" i="2"/>
  <c r="T421" i="2"/>
  <c r="X421" i="2" s="1"/>
  <c r="Y421" i="2" s="1"/>
  <c r="AA421" i="2" s="1"/>
  <c r="AB421" i="2" s="1"/>
  <c r="AC421" i="2" s="1"/>
  <c r="R252" i="2"/>
  <c r="AL252" i="2" s="1"/>
  <c r="AB143" i="2"/>
  <c r="AC143" i="2" s="1"/>
  <c r="AN143" i="2" s="1"/>
  <c r="AR143" i="2" s="1"/>
  <c r="T144" i="2"/>
  <c r="T132" i="2"/>
  <c r="T122" i="2"/>
  <c r="V128" i="2"/>
  <c r="AB128" i="2" s="1"/>
  <c r="AC128" i="2" s="1"/>
  <c r="AN128" i="2" s="1"/>
  <c r="AR128" i="2" s="1"/>
  <c r="AB268" i="2"/>
  <c r="AC268" i="2" s="1"/>
  <c r="AB236" i="2"/>
  <c r="AC236" i="2" s="1"/>
  <c r="AN236" i="2" s="1"/>
  <c r="AR236" i="2" s="1"/>
  <c r="T236" i="2"/>
  <c r="T21" i="2"/>
  <c r="X21" i="2" s="1"/>
  <c r="Y21" i="2" s="1"/>
  <c r="AA21" i="2" s="1"/>
  <c r="T493" i="2"/>
  <c r="R37" i="2"/>
  <c r="AB407" i="2"/>
  <c r="AC407" i="2" s="1"/>
  <c r="AN407" i="2" s="1"/>
  <c r="AR407" i="2" s="1"/>
  <c r="V238" i="2"/>
  <c r="AB238" i="2" s="1"/>
  <c r="AC238" i="2" s="1"/>
  <c r="AN238" i="2" s="1"/>
  <c r="T238" i="2"/>
  <c r="AB193" i="2"/>
  <c r="AC193" i="2" s="1"/>
  <c r="T180" i="2"/>
  <c r="AB142" i="2"/>
  <c r="AC142" i="2" s="1"/>
  <c r="T157" i="2"/>
  <c r="T145" i="2"/>
  <c r="T141" i="2"/>
  <c r="T137" i="2"/>
  <c r="T133" i="2"/>
  <c r="T520" i="2"/>
  <c r="V531" i="2"/>
  <c r="AB531" i="2" s="1"/>
  <c r="AC531" i="2" s="1"/>
  <c r="R392" i="2"/>
  <c r="R397" i="2" s="1"/>
  <c r="AB157" i="2"/>
  <c r="AC157" i="2" s="1"/>
  <c r="AN157" i="2" s="1"/>
  <c r="AR157" i="2" s="1"/>
  <c r="AB141" i="2"/>
  <c r="AC141" i="2" s="1"/>
  <c r="AN141" i="2" s="1"/>
  <c r="AR141" i="2" s="1"/>
  <c r="AB133" i="2"/>
  <c r="AC133" i="2" s="1"/>
  <c r="AN133" i="2" s="1"/>
  <c r="AR133" i="2" s="1"/>
  <c r="AB176" i="2"/>
  <c r="AC176" i="2" s="1"/>
  <c r="AN176" i="2" s="1"/>
  <c r="AR176" i="2" s="1"/>
  <c r="AB151" i="2"/>
  <c r="AC151" i="2" s="1"/>
  <c r="AN151" i="2" s="1"/>
  <c r="AR151" i="2" s="1"/>
  <c r="AB135" i="2"/>
  <c r="AC135" i="2" s="1"/>
  <c r="AN135" i="2" s="1"/>
  <c r="AR135" i="2" s="1"/>
  <c r="AB127" i="2"/>
  <c r="AC127" i="2" s="1"/>
  <c r="AN127" i="2" s="1"/>
  <c r="AB518" i="2"/>
  <c r="AC518" i="2" s="1"/>
  <c r="T250" i="2"/>
  <c r="X250" i="2" s="1"/>
  <c r="Y250" i="2" s="1"/>
  <c r="AA250" i="2" s="1"/>
  <c r="AB250" i="2" s="1"/>
  <c r="AC250" i="2" s="1"/>
  <c r="AN250" i="2" s="1"/>
  <c r="T349" i="2"/>
  <c r="AB152" i="2"/>
  <c r="AC152" i="2" s="1"/>
  <c r="AN152" i="2" s="1"/>
  <c r="AR152" i="2" s="1"/>
  <c r="AB144" i="2"/>
  <c r="AC144" i="2" s="1"/>
  <c r="AN144" i="2" s="1"/>
  <c r="AR144" i="2" s="1"/>
  <c r="AB519" i="2"/>
  <c r="AC519" i="2" s="1"/>
  <c r="T162" i="2"/>
  <c r="T146" i="2"/>
  <c r="T425" i="2"/>
  <c r="X425" i="2" s="1"/>
  <c r="Y425" i="2" s="1"/>
  <c r="AA425" i="2" s="1"/>
  <c r="T407" i="2"/>
  <c r="AB145" i="2"/>
  <c r="AC145" i="2" s="1"/>
  <c r="AN145" i="2" s="1"/>
  <c r="AR145" i="2" s="1"/>
  <c r="AB137" i="2"/>
  <c r="AC137" i="2" s="1"/>
  <c r="AN137" i="2" s="1"/>
  <c r="AR137" i="2" s="1"/>
  <c r="AB520" i="2"/>
  <c r="AC520" i="2" s="1"/>
  <c r="T536" i="2"/>
  <c r="X536" i="2" s="1"/>
  <c r="Y536" i="2" s="1"/>
  <c r="AA536" i="2" s="1"/>
  <c r="AB536" i="2" s="1"/>
  <c r="AC536" i="2" s="1"/>
  <c r="T184" i="2"/>
  <c r="X184" i="2" s="1"/>
  <c r="Y184" i="2" s="1"/>
  <c r="AA184" i="2" s="1"/>
  <c r="AB184" i="2" s="1"/>
  <c r="AC184" i="2" s="1"/>
  <c r="AN184" i="2" s="1"/>
  <c r="AR184" i="2" s="1"/>
  <c r="AB293" i="2"/>
  <c r="AC293" i="2" s="1"/>
  <c r="AR293" i="2" s="1"/>
  <c r="T241" i="2"/>
  <c r="X241" i="2" s="1"/>
  <c r="Y241" i="2" s="1"/>
  <c r="AA241" i="2" s="1"/>
  <c r="AB241" i="2" s="1"/>
  <c r="AC241" i="2" s="1"/>
  <c r="AB162" i="2"/>
  <c r="AC162" i="2" s="1"/>
  <c r="AB154" i="2"/>
  <c r="AC154" i="2" s="1"/>
  <c r="AB146" i="2"/>
  <c r="AC146" i="2" s="1"/>
  <c r="AB138" i="2"/>
  <c r="AC138" i="2" s="1"/>
  <c r="AB130" i="2"/>
  <c r="AC130" i="2" s="1"/>
  <c r="AB122" i="2"/>
  <c r="AC122" i="2" s="1"/>
  <c r="T491" i="2"/>
  <c r="T268" i="2"/>
  <c r="V344" i="2"/>
  <c r="AB344" i="2" s="1"/>
  <c r="AC344" i="2" s="1"/>
  <c r="T155" i="2"/>
  <c r="T151" i="2"/>
  <c r="T147" i="2"/>
  <c r="T135" i="2"/>
  <c r="T127" i="2"/>
  <c r="T518" i="2"/>
  <c r="V242" i="2"/>
  <c r="T242" i="2"/>
  <c r="X242" i="2" s="1"/>
  <c r="Y242" i="2" s="1"/>
  <c r="AA242" i="2" s="1"/>
  <c r="V233" i="2"/>
  <c r="AB233" i="2" s="1"/>
  <c r="AC233" i="2" s="1"/>
  <c r="T233" i="2"/>
  <c r="T265" i="2"/>
  <c r="T416" i="2"/>
  <c r="T408" i="2"/>
  <c r="T401" i="2"/>
  <c r="AB155" i="2"/>
  <c r="AC155" i="2" s="1"/>
  <c r="AN155" i="2" s="1"/>
  <c r="AR155" i="2" s="1"/>
  <c r="AB147" i="2"/>
  <c r="AC147" i="2" s="1"/>
  <c r="AN147" i="2" s="1"/>
  <c r="AR147" i="2" s="1"/>
  <c r="AB156" i="2"/>
  <c r="AC156" i="2" s="1"/>
  <c r="AN156" i="2" s="1"/>
  <c r="AR156" i="2" s="1"/>
  <c r="AB132" i="2"/>
  <c r="AC132" i="2" s="1"/>
  <c r="AN132" i="2" s="1"/>
  <c r="AR132" i="2" s="1"/>
  <c r="T492" i="2"/>
  <c r="AB492" i="2"/>
  <c r="AC492" i="2" s="1"/>
  <c r="AR492" i="2" s="1"/>
  <c r="T95" i="2"/>
  <c r="X95" i="2" s="1"/>
  <c r="Y95" i="2" s="1"/>
  <c r="AA95" i="2" s="1"/>
  <c r="T261" i="2"/>
  <c r="V261" i="2"/>
  <c r="T419" i="2"/>
  <c r="X419" i="2" s="1"/>
  <c r="Y419" i="2" s="1"/>
  <c r="AA419" i="2" s="1"/>
  <c r="V419" i="2"/>
  <c r="R445" i="2"/>
  <c r="V343" i="2"/>
  <c r="T343" i="2"/>
  <c r="T283" i="2"/>
  <c r="X283" i="2" s="1"/>
  <c r="Y283" i="2" s="1"/>
  <c r="AA283" i="2" s="1"/>
  <c r="V283" i="2"/>
  <c r="V177" i="2"/>
  <c r="AB177" i="2" s="1"/>
  <c r="AC177" i="2" s="1"/>
  <c r="T177" i="2"/>
  <c r="T263" i="2"/>
  <c r="X263" i="2" s="1"/>
  <c r="Y263" i="2" s="1"/>
  <c r="AA263" i="2" s="1"/>
  <c r="V263" i="2"/>
  <c r="V234" i="2"/>
  <c r="AB234" i="2" s="1"/>
  <c r="AC234" i="2" s="1"/>
  <c r="AN234" i="2" s="1"/>
  <c r="T234" i="2"/>
  <c r="V183" i="2"/>
  <c r="T183" i="2"/>
  <c r="X183" i="2" s="1"/>
  <c r="Y183" i="2" s="1"/>
  <c r="AA183" i="2" s="1"/>
  <c r="T247" i="2"/>
  <c r="X247" i="2" s="1"/>
  <c r="Y247" i="2" s="1"/>
  <c r="AA247" i="2" s="1"/>
  <c r="V247" i="2"/>
  <c r="V197" i="2"/>
  <c r="T197" i="2"/>
  <c r="X197" i="2" s="1"/>
  <c r="Y197" i="2" s="1"/>
  <c r="AA197" i="2" s="1"/>
  <c r="T287" i="2"/>
  <c r="X287" i="2" s="1"/>
  <c r="Y287" i="2" s="1"/>
  <c r="AA287" i="2" s="1"/>
  <c r="V287" i="2"/>
  <c r="T181" i="2"/>
  <c r="V181" i="2"/>
  <c r="T19" i="2"/>
  <c r="X19" i="2" s="1"/>
  <c r="Y19" i="2" s="1"/>
  <c r="AA19" i="2" s="1"/>
  <c r="V19" i="2"/>
  <c r="T77" i="2"/>
  <c r="X77" i="2" s="1"/>
  <c r="Y77" i="2" s="1"/>
  <c r="AA77" i="2" s="1"/>
  <c r="V77" i="2"/>
  <c r="T12" i="2"/>
  <c r="V12" i="2"/>
  <c r="AB12" i="2" s="1"/>
  <c r="AC12" i="2" s="1"/>
  <c r="Q445" i="2"/>
  <c r="X343" i="2"/>
  <c r="T489" i="2"/>
  <c r="V489" i="2"/>
  <c r="AB489" i="2" s="1"/>
  <c r="AC489" i="2" s="1"/>
  <c r="AB266" i="2"/>
  <c r="AC266" i="2" s="1"/>
  <c r="AR266" i="2" s="1"/>
  <c r="T456" i="2"/>
  <c r="V456" i="2"/>
  <c r="AB456" i="2" s="1"/>
  <c r="AC456" i="2" s="1"/>
  <c r="AN456" i="2" s="1"/>
  <c r="AR456" i="2" s="1"/>
  <c r="T292" i="2"/>
  <c r="V292" i="2"/>
  <c r="AB292" i="2" s="1"/>
  <c r="AC292" i="2" s="1"/>
  <c r="AR292" i="2" s="1"/>
  <c r="T459" i="2"/>
  <c r="V459" i="2"/>
  <c r="AB459" i="2" s="1"/>
  <c r="AC459" i="2" s="1"/>
  <c r="AN459" i="2" s="1"/>
  <c r="AR459" i="2" s="1"/>
  <c r="Y517" i="2"/>
  <c r="T470" i="2"/>
  <c r="X470" i="2" s="1"/>
  <c r="Y470" i="2" s="1"/>
  <c r="AA470" i="2" s="1"/>
  <c r="V470" i="2"/>
  <c r="T454" i="2"/>
  <c r="V454" i="2"/>
  <c r="AB454" i="2" s="1"/>
  <c r="AC454" i="2" s="1"/>
  <c r="AN454" i="2" s="1"/>
  <c r="AR454" i="2" s="1"/>
  <c r="T469" i="2"/>
  <c r="X469" i="2" s="1"/>
  <c r="Y469" i="2" s="1"/>
  <c r="AA469" i="2" s="1"/>
  <c r="V469" i="2"/>
  <c r="T453" i="2"/>
  <c r="V453" i="2"/>
  <c r="AB453" i="2" s="1"/>
  <c r="AC453" i="2" s="1"/>
  <c r="T290" i="2"/>
  <c r="X290" i="2" s="1"/>
  <c r="Y290" i="2" s="1"/>
  <c r="AA290" i="2" s="1"/>
  <c r="V290" i="2"/>
  <c r="T190" i="2"/>
  <c r="X190" i="2" s="1"/>
  <c r="Y190" i="2" s="1"/>
  <c r="AA190" i="2" s="1"/>
  <c r="V190" i="2"/>
  <c r="R347" i="2"/>
  <c r="V434" i="2"/>
  <c r="AB434" i="2" s="1"/>
  <c r="AC434" i="2" s="1"/>
  <c r="T434" i="2"/>
  <c r="V282" i="2"/>
  <c r="T282" i="2"/>
  <c r="X282" i="2" s="1"/>
  <c r="Y282" i="2" s="1"/>
  <c r="AA282" i="2" s="1"/>
  <c r="V328" i="2"/>
  <c r="T328" i="2"/>
  <c r="X328" i="2" s="1"/>
  <c r="Y328" i="2" s="1"/>
  <c r="AA328" i="2" s="1"/>
  <c r="V253" i="2"/>
  <c r="T253" i="2"/>
  <c r="X253" i="2" s="1"/>
  <c r="Y253" i="2" s="1"/>
  <c r="AA253" i="2" s="1"/>
  <c r="T211" i="2"/>
  <c r="V211" i="2"/>
  <c r="AB211" i="2" s="1"/>
  <c r="AC211" i="2" s="1"/>
  <c r="AR211" i="2" s="1"/>
  <c r="T165" i="2"/>
  <c r="V165" i="2"/>
  <c r="AB165" i="2" s="1"/>
  <c r="AC165" i="2" s="1"/>
  <c r="T187" i="2"/>
  <c r="X187" i="2" s="1"/>
  <c r="Y187" i="2" s="1"/>
  <c r="AA187" i="2" s="1"/>
  <c r="V187" i="2"/>
  <c r="V200" i="2"/>
  <c r="T200" i="2"/>
  <c r="X200" i="2" s="1"/>
  <c r="Y200" i="2" s="1"/>
  <c r="AA200" i="2" s="1"/>
  <c r="T485" i="2"/>
  <c r="V485" i="2"/>
  <c r="T296" i="2"/>
  <c r="V296" i="2"/>
  <c r="AB296" i="2" s="1"/>
  <c r="AC296" i="2" s="1"/>
  <c r="AR296" i="2" s="1"/>
  <c r="T22" i="2"/>
  <c r="X22" i="2" s="1"/>
  <c r="Y22" i="2" s="1"/>
  <c r="AA22" i="2" s="1"/>
  <c r="V22" i="2"/>
  <c r="AA527" i="2"/>
  <c r="Q278" i="2"/>
  <c r="T295" i="2"/>
  <c r="V295" i="2"/>
  <c r="AB295" i="2" s="1"/>
  <c r="AC295" i="2" s="1"/>
  <c r="T245" i="2"/>
  <c r="X245" i="2" s="1"/>
  <c r="Y245" i="2" s="1"/>
  <c r="AA245" i="2" s="1"/>
  <c r="V245" i="2"/>
  <c r="T284" i="2"/>
  <c r="X284" i="2" s="1"/>
  <c r="Y284" i="2" s="1"/>
  <c r="AA284" i="2" s="1"/>
  <c r="V284" i="2"/>
  <c r="V239" i="2"/>
  <c r="T239" i="2"/>
  <c r="X239" i="2" s="1"/>
  <c r="Y239" i="2" s="1"/>
  <c r="AA239" i="2" s="1"/>
  <c r="T460" i="2"/>
  <c r="V460" i="2"/>
  <c r="AB460" i="2" s="1"/>
  <c r="AC460" i="2" s="1"/>
  <c r="AN460" i="2" s="1"/>
  <c r="AR460" i="2" s="1"/>
  <c r="V254" i="2"/>
  <c r="T254" i="2"/>
  <c r="X254" i="2" s="1"/>
  <c r="Y254" i="2" s="1"/>
  <c r="AA254" i="2" s="1"/>
  <c r="T202" i="2"/>
  <c r="X202" i="2" s="1"/>
  <c r="Y202" i="2" s="1"/>
  <c r="AA202" i="2" s="1"/>
  <c r="V202" i="2"/>
  <c r="T463" i="2"/>
  <c r="V463" i="2"/>
  <c r="AB463" i="2" s="1"/>
  <c r="AC463" i="2" s="1"/>
  <c r="AN463" i="2" s="1"/>
  <c r="AR463" i="2" s="1"/>
  <c r="AA342" i="2"/>
  <c r="T188" i="2"/>
  <c r="X188" i="2" s="1"/>
  <c r="Y188" i="2" s="1"/>
  <c r="AA188" i="2" s="1"/>
  <c r="V188" i="2"/>
  <c r="T204" i="2"/>
  <c r="V204" i="2"/>
  <c r="AB204" i="2" s="1"/>
  <c r="AC204" i="2" s="1"/>
  <c r="AR204" i="2" s="1"/>
  <c r="T458" i="2"/>
  <c r="V458" i="2"/>
  <c r="AB458" i="2" s="1"/>
  <c r="AC458" i="2" s="1"/>
  <c r="AN458" i="2" s="1"/>
  <c r="AR458" i="2" s="1"/>
  <c r="Y485" i="2"/>
  <c r="T490" i="2"/>
  <c r="V490" i="2"/>
  <c r="AB490" i="2" s="1"/>
  <c r="AC490" i="2" s="1"/>
  <c r="T457" i="2"/>
  <c r="V457" i="2"/>
  <c r="AB457" i="2" s="1"/>
  <c r="AC457" i="2" s="1"/>
  <c r="T75" i="2"/>
  <c r="X75" i="2" s="1"/>
  <c r="Y75" i="2" s="1"/>
  <c r="AA75" i="2" s="1"/>
  <c r="V75" i="2"/>
  <c r="T74" i="2"/>
  <c r="X74" i="2" s="1"/>
  <c r="Y74" i="2" s="1"/>
  <c r="AA74" i="2" s="1"/>
  <c r="V74" i="2"/>
  <c r="V329" i="2"/>
  <c r="AB329" i="2" s="1"/>
  <c r="AC329" i="2" s="1"/>
  <c r="T329" i="2"/>
  <c r="V259" i="2"/>
  <c r="T259" i="2"/>
  <c r="X259" i="2" s="1"/>
  <c r="Y259" i="2" s="1"/>
  <c r="AA259" i="2" s="1"/>
  <c r="V167" i="2"/>
  <c r="AB167" i="2" s="1"/>
  <c r="AC167" i="2" s="1"/>
  <c r="AN167" i="2" s="1"/>
  <c r="AR167" i="2" s="1"/>
  <c r="T167" i="2"/>
  <c r="T264" i="2"/>
  <c r="V264" i="2"/>
  <c r="AB264" i="2" s="1"/>
  <c r="AC264" i="2" s="1"/>
  <c r="T205" i="2"/>
  <c r="V205" i="2"/>
  <c r="AB205" i="2" s="1"/>
  <c r="AC205" i="2" s="1"/>
  <c r="V330" i="2"/>
  <c r="AB330" i="2" s="1"/>
  <c r="AC330" i="2" s="1"/>
  <c r="AR330" i="2" s="1"/>
  <c r="T330" i="2"/>
  <c r="T91" i="2"/>
  <c r="X91" i="2" s="1"/>
  <c r="Y91" i="2" s="1"/>
  <c r="AA91" i="2" s="1"/>
  <c r="V91" i="2"/>
  <c r="T13" i="2"/>
  <c r="X13" i="2" s="1"/>
  <c r="Y13" i="2" s="1"/>
  <c r="AA13" i="2" s="1"/>
  <c r="V13" i="2"/>
  <c r="T72" i="2"/>
  <c r="X72" i="2" s="1"/>
  <c r="Y72" i="2" s="1"/>
  <c r="R86" i="2"/>
  <c r="V72" i="2"/>
  <c r="P86" i="2"/>
  <c r="T262" i="2"/>
  <c r="X262" i="2" s="1"/>
  <c r="Y262" i="2" s="1"/>
  <c r="AA262" i="2" s="1"/>
  <c r="V262" i="2"/>
  <c r="AB168" i="2"/>
  <c r="AC168" i="2" s="1"/>
  <c r="AN168" i="2" s="1"/>
  <c r="AR168" i="2" s="1"/>
  <c r="T464" i="2"/>
  <c r="V464" i="2"/>
  <c r="AB464" i="2" s="1"/>
  <c r="AC464" i="2" s="1"/>
  <c r="AN464" i="2" s="1"/>
  <c r="AR464" i="2" s="1"/>
  <c r="R482" i="2"/>
  <c r="T448" i="2"/>
  <c r="V448" i="2"/>
  <c r="T285" i="2"/>
  <c r="X285" i="2" s="1"/>
  <c r="Y285" i="2" s="1"/>
  <c r="AA285" i="2" s="1"/>
  <c r="V285" i="2"/>
  <c r="T521" i="2"/>
  <c r="X521" i="2" s="1"/>
  <c r="Y521" i="2" s="1"/>
  <c r="AA521" i="2" s="1"/>
  <c r="V521" i="2"/>
  <c r="T467" i="2"/>
  <c r="X467" i="2" s="1"/>
  <c r="Y467" i="2" s="1"/>
  <c r="AA467" i="2" s="1"/>
  <c r="V467" i="2"/>
  <c r="T451" i="2"/>
  <c r="V451" i="2"/>
  <c r="AB451" i="2" s="1"/>
  <c r="AC451" i="2" s="1"/>
  <c r="AN451" i="2" s="1"/>
  <c r="AR451" i="2" s="1"/>
  <c r="T486" i="2"/>
  <c r="X486" i="2" s="1"/>
  <c r="Y486" i="2" s="1"/>
  <c r="AA486" i="2" s="1"/>
  <c r="V486" i="2"/>
  <c r="T207" i="2"/>
  <c r="V207" i="2"/>
  <c r="AB207" i="2" s="1"/>
  <c r="AC207" i="2" s="1"/>
  <c r="AR207" i="2" s="1"/>
  <c r="T462" i="2"/>
  <c r="V462" i="2"/>
  <c r="AB462" i="2" s="1"/>
  <c r="AC462" i="2" s="1"/>
  <c r="AN462" i="2" s="1"/>
  <c r="AR462" i="2" s="1"/>
  <c r="T461" i="2"/>
  <c r="V461" i="2"/>
  <c r="AB461" i="2" s="1"/>
  <c r="AC461" i="2" s="1"/>
  <c r="T79" i="2"/>
  <c r="V79" i="2"/>
  <c r="AB79" i="2" s="1"/>
  <c r="AC79" i="2" s="1"/>
  <c r="T532" i="2"/>
  <c r="X532" i="2" s="1"/>
  <c r="Y532" i="2" s="1"/>
  <c r="AA532" i="2" s="1"/>
  <c r="V532" i="2"/>
  <c r="P356" i="2"/>
  <c r="C49" i="1" s="1"/>
  <c r="AD49" i="1" s="1"/>
  <c r="X261" i="2"/>
  <c r="Y261" i="2" s="1"/>
  <c r="AA261" i="2" s="1"/>
  <c r="AB265" i="2"/>
  <c r="AC265" i="2" s="1"/>
  <c r="V191" i="2"/>
  <c r="T191" i="2"/>
  <c r="X191" i="2" s="1"/>
  <c r="Y191" i="2" s="1"/>
  <c r="AA191" i="2" s="1"/>
  <c r="T294" i="2"/>
  <c r="V294" i="2"/>
  <c r="AB294" i="2" s="1"/>
  <c r="AC294" i="2" s="1"/>
  <c r="AR294" i="2" s="1"/>
  <c r="T246" i="2"/>
  <c r="X246" i="2" s="1"/>
  <c r="Y246" i="2" s="1"/>
  <c r="AA246" i="2" s="1"/>
  <c r="V246" i="2"/>
  <c r="V178" i="2"/>
  <c r="AB178" i="2" s="1"/>
  <c r="AC178" i="2" s="1"/>
  <c r="T178" i="2"/>
  <c r="Y448" i="2"/>
  <c r="AB491" i="2"/>
  <c r="AC491" i="2" s="1"/>
  <c r="T286" i="2"/>
  <c r="X286" i="2" s="1"/>
  <c r="Y286" i="2" s="1"/>
  <c r="AA286" i="2" s="1"/>
  <c r="V286" i="2"/>
  <c r="T208" i="2"/>
  <c r="V208" i="2"/>
  <c r="AB208" i="2" s="1"/>
  <c r="AC208" i="2" s="1"/>
  <c r="AR208" i="2" s="1"/>
  <c r="T20" i="2"/>
  <c r="V20" i="2"/>
  <c r="T73" i="2"/>
  <c r="X73" i="2" s="1"/>
  <c r="Y73" i="2" s="1"/>
  <c r="AA73" i="2" s="1"/>
  <c r="V73" i="2"/>
  <c r="T76" i="2"/>
  <c r="X76" i="2" s="1"/>
  <c r="Y76" i="2" s="1"/>
  <c r="AA76" i="2" s="1"/>
  <c r="V76" i="2"/>
  <c r="R230" i="2"/>
  <c r="V430" i="2"/>
  <c r="T430" i="2"/>
  <c r="X430" i="2" s="1"/>
  <c r="Y430" i="2" s="1"/>
  <c r="AA430" i="2" s="1"/>
  <c r="V281" i="2"/>
  <c r="R324" i="2"/>
  <c r="T281" i="2"/>
  <c r="X281" i="2" s="1"/>
  <c r="Y281" i="2" s="1"/>
  <c r="AA281" i="2" s="1"/>
  <c r="V172" i="2"/>
  <c r="AB172" i="2" s="1"/>
  <c r="AC172" i="2" s="1"/>
  <c r="AN172" i="2" s="1"/>
  <c r="AR172" i="2" s="1"/>
  <c r="T172" i="2"/>
  <c r="V260" i="2"/>
  <c r="T260" i="2"/>
  <c r="X260" i="2" s="1"/>
  <c r="Y260" i="2" s="1"/>
  <c r="AA260" i="2" s="1"/>
  <c r="T468" i="2"/>
  <c r="X468" i="2" s="1"/>
  <c r="Y468" i="2" s="1"/>
  <c r="AA468" i="2" s="1"/>
  <c r="V468" i="2"/>
  <c r="T452" i="2"/>
  <c r="V452" i="2"/>
  <c r="AB452" i="2" s="1"/>
  <c r="AC452" i="2" s="1"/>
  <c r="AN452" i="2" s="1"/>
  <c r="AR452" i="2" s="1"/>
  <c r="T471" i="2"/>
  <c r="X471" i="2" s="1"/>
  <c r="Y471" i="2" s="1"/>
  <c r="AA471" i="2" s="1"/>
  <c r="V471" i="2"/>
  <c r="T455" i="2"/>
  <c r="V455" i="2"/>
  <c r="AB455" i="2" s="1"/>
  <c r="AC455" i="2" s="1"/>
  <c r="AN455" i="2" s="1"/>
  <c r="AR455" i="2" s="1"/>
  <c r="T209" i="2"/>
  <c r="V209" i="2"/>
  <c r="AB209" i="2" s="1"/>
  <c r="AC209" i="2" s="1"/>
  <c r="T466" i="2"/>
  <c r="X466" i="2" s="1"/>
  <c r="Y466" i="2" s="1"/>
  <c r="AA466" i="2" s="1"/>
  <c r="V466" i="2"/>
  <c r="T450" i="2"/>
  <c r="V450" i="2"/>
  <c r="AB450" i="2" s="1"/>
  <c r="AC450" i="2" s="1"/>
  <c r="AN450" i="2" s="1"/>
  <c r="AR450" i="2" s="1"/>
  <c r="T189" i="2"/>
  <c r="X189" i="2" s="1"/>
  <c r="Y189" i="2" s="1"/>
  <c r="AA189" i="2" s="1"/>
  <c r="V189" i="2"/>
  <c r="V169" i="2"/>
  <c r="AB169" i="2" s="1"/>
  <c r="AC169" i="2" s="1"/>
  <c r="T169" i="2"/>
  <c r="T465" i="2"/>
  <c r="X465" i="2" s="1"/>
  <c r="Y465" i="2" s="1"/>
  <c r="AA465" i="2" s="1"/>
  <c r="V465" i="2"/>
  <c r="T449" i="2"/>
  <c r="V449" i="2"/>
  <c r="AB449" i="2" s="1"/>
  <c r="AC449" i="2" s="1"/>
  <c r="T11" i="2"/>
  <c r="X11" i="2" s="1"/>
  <c r="Y11" i="2" s="1"/>
  <c r="AA11" i="2" s="1"/>
  <c r="V11" i="2"/>
  <c r="T14" i="2"/>
  <c r="X14" i="2" s="1"/>
  <c r="Y14" i="2" s="1"/>
  <c r="AA14" i="2" s="1"/>
  <c r="V14" i="2"/>
  <c r="T45" i="2"/>
  <c r="X45" i="2" s="1"/>
  <c r="Y45" i="2" s="1"/>
  <c r="AA45" i="2" s="1"/>
  <c r="V45" i="2"/>
  <c r="X181" i="2"/>
  <c r="Y181" i="2" s="1"/>
  <c r="AA181" i="2" s="1"/>
  <c r="R327" i="2"/>
  <c r="R339" i="2" s="1"/>
  <c r="P278" i="2"/>
  <c r="C39" i="1" s="1"/>
  <c r="AD39" i="1" s="1"/>
  <c r="AJ502" i="2" l="1"/>
  <c r="AR268" i="2"/>
  <c r="AP324" i="2"/>
  <c r="AL493" i="2"/>
  <c r="AR493" i="2"/>
  <c r="N54" i="4"/>
  <c r="O54" i="4" s="1"/>
  <c r="S54" i="4" s="1"/>
  <c r="N20" i="4"/>
  <c r="O20" i="4" s="1"/>
  <c r="S20" i="4" s="1"/>
  <c r="N59" i="4"/>
  <c r="O59" i="4" s="1"/>
  <c r="S59" i="4" s="1"/>
  <c r="N448" i="4"/>
  <c r="O448" i="4" s="1"/>
  <c r="S448" i="4" s="1"/>
  <c r="N599" i="4"/>
  <c r="O599" i="4" s="1"/>
  <c r="S599" i="4" s="1"/>
  <c r="N110" i="4"/>
  <c r="O110" i="4" s="1"/>
  <c r="S110" i="4" s="1"/>
  <c r="N146" i="4"/>
  <c r="O146" i="4" s="1"/>
  <c r="S146" i="4" s="1"/>
  <c r="N108" i="4"/>
  <c r="N445" i="4"/>
  <c r="O445" i="4" s="1"/>
  <c r="S445" i="4" s="1"/>
  <c r="N90" i="4"/>
  <c r="O90" i="4" s="1"/>
  <c r="S90" i="4" s="1"/>
  <c r="S99" i="4" s="1"/>
  <c r="AP339" i="2"/>
  <c r="N137" i="4"/>
  <c r="O137" i="4" s="1"/>
  <c r="S137" i="4" s="1"/>
  <c r="N78" i="4"/>
  <c r="O78" i="4" s="1"/>
  <c r="S78" i="4" s="1"/>
  <c r="S86" i="4" s="1"/>
  <c r="N129" i="4"/>
  <c r="O129" i="4" s="1"/>
  <c r="S129" i="4" s="1"/>
  <c r="N144" i="4"/>
  <c r="O144" i="4" s="1"/>
  <c r="S144" i="4" s="1"/>
  <c r="N22" i="4"/>
  <c r="O22" i="4" s="1"/>
  <c r="S22" i="4" s="1"/>
  <c r="N452" i="4"/>
  <c r="O452" i="4" s="1"/>
  <c r="S452" i="4" s="1"/>
  <c r="N140" i="4"/>
  <c r="O140" i="4" s="1"/>
  <c r="S140" i="4" s="1"/>
  <c r="N142" i="4"/>
  <c r="O142" i="4" s="1"/>
  <c r="S142" i="4" s="1"/>
  <c r="AL40" i="2"/>
  <c r="N57" i="4"/>
  <c r="N463" i="4"/>
  <c r="O463" i="4" s="1"/>
  <c r="S463" i="4" s="1"/>
  <c r="U139" i="4"/>
  <c r="U141" i="4"/>
  <c r="U56" i="4"/>
  <c r="U107" i="4"/>
  <c r="U447" i="4"/>
  <c r="U109" i="4"/>
  <c r="U451" i="4"/>
  <c r="U19" i="4"/>
  <c r="U444" i="4"/>
  <c r="U145" i="4"/>
  <c r="U598" i="4"/>
  <c r="U53" i="4"/>
  <c r="U58" i="4"/>
  <c r="S51" i="4"/>
  <c r="S149" i="4"/>
  <c r="S12" i="4"/>
  <c r="S113" i="4"/>
  <c r="S441" i="4"/>
  <c r="S111" i="4"/>
  <c r="U89" i="4"/>
  <c r="U128" i="4"/>
  <c r="U462" i="4"/>
  <c r="U21" i="4"/>
  <c r="S147" i="4"/>
  <c r="S126" i="4"/>
  <c r="O89" i="4"/>
  <c r="U143" i="4"/>
  <c r="U136" i="4"/>
  <c r="N86" i="4"/>
  <c r="AE19" i="1" s="1"/>
  <c r="U77" i="4"/>
  <c r="U41" i="4"/>
  <c r="P576" i="4"/>
  <c r="Q576" i="4" s="1"/>
  <c r="S576" i="4" s="1"/>
  <c r="T576" i="4" s="1"/>
  <c r="U576" i="4" s="1"/>
  <c r="P62" i="4"/>
  <c r="Q62" i="4" s="1"/>
  <c r="T62" i="4" s="1"/>
  <c r="N42" i="4"/>
  <c r="N48" i="4" s="1"/>
  <c r="M48" i="4"/>
  <c r="O57" i="4"/>
  <c r="S57" i="4" s="1"/>
  <c r="O594" i="4"/>
  <c r="S594" i="4" s="1"/>
  <c r="M13" i="4"/>
  <c r="O595" i="4"/>
  <c r="S595" i="4" s="1"/>
  <c r="O591" i="4"/>
  <c r="S591" i="4" s="1"/>
  <c r="O108" i="4"/>
  <c r="S108" i="4" s="1"/>
  <c r="AB430" i="2"/>
  <c r="AC430" i="2" s="1"/>
  <c r="AR430" i="2" s="1"/>
  <c r="Q86" i="2"/>
  <c r="O41" i="4"/>
  <c r="Q102" i="2"/>
  <c r="V78" i="2"/>
  <c r="AB78" i="2" s="1"/>
  <c r="AC78" i="2" s="1"/>
  <c r="AJ86" i="2"/>
  <c r="R102" i="2"/>
  <c r="R119" i="2" s="1"/>
  <c r="M442" i="4"/>
  <c r="N441" i="4"/>
  <c r="M99" i="4"/>
  <c r="O136" i="4"/>
  <c r="O77" i="4"/>
  <c r="M86" i="4"/>
  <c r="AC19" i="1" s="1"/>
  <c r="AB202" i="2"/>
  <c r="AC202" i="2" s="1"/>
  <c r="AR202" i="2" s="1"/>
  <c r="N126" i="4"/>
  <c r="M127" i="4"/>
  <c r="S561" i="4"/>
  <c r="T561" i="4" s="1"/>
  <c r="U561" i="4" s="1"/>
  <c r="O447" i="4"/>
  <c r="M52" i="4"/>
  <c r="N51" i="4"/>
  <c r="O104" i="4"/>
  <c r="M150" i="4"/>
  <c r="N149" i="4"/>
  <c r="O149" i="4" s="1"/>
  <c r="P149" i="4" s="1"/>
  <c r="N111" i="4"/>
  <c r="O111" i="4" s="1"/>
  <c r="P111" i="4" s="1"/>
  <c r="M112" i="4"/>
  <c r="M148" i="4"/>
  <c r="N147" i="4"/>
  <c r="M114" i="4"/>
  <c r="N113" i="4"/>
  <c r="O113" i="4" s="1"/>
  <c r="P113" i="4" s="1"/>
  <c r="O139" i="4"/>
  <c r="P504" i="2"/>
  <c r="P119" i="2"/>
  <c r="AR489" i="2"/>
  <c r="AR264" i="2"/>
  <c r="AP76" i="2"/>
  <c r="AB425" i="2"/>
  <c r="AC425" i="2" s="1"/>
  <c r="AN425" i="2" s="1"/>
  <c r="AP77" i="2"/>
  <c r="AP230" i="2"/>
  <c r="AR295" i="2"/>
  <c r="AR428" i="2"/>
  <c r="AJ278" i="2"/>
  <c r="AJ389" i="2" s="1"/>
  <c r="AR329" i="2"/>
  <c r="AL347" i="2"/>
  <c r="AL419" i="2"/>
  <c r="AL445" i="2" s="1"/>
  <c r="AR432" i="2"/>
  <c r="AL181" i="2"/>
  <c r="AL230" i="2" s="1"/>
  <c r="Q389" i="2"/>
  <c r="AP278" i="2"/>
  <c r="AN177" i="2"/>
  <c r="AR177" i="2" s="1"/>
  <c r="C508" i="2"/>
  <c r="AN194" i="2"/>
  <c r="AR194" i="2" s="1"/>
  <c r="AL95" i="2"/>
  <c r="AL102" i="2" s="1"/>
  <c r="AL392" i="2"/>
  <c r="AL397" i="2" s="1"/>
  <c r="AN193" i="2"/>
  <c r="AR193" i="2" s="1"/>
  <c r="AR209" i="2"/>
  <c r="AR205" i="2"/>
  <c r="AR201" i="2"/>
  <c r="AP393" i="2"/>
  <c r="AR393" i="2" s="1"/>
  <c r="AN93" i="2"/>
  <c r="AR93" i="2" s="1"/>
  <c r="AN174" i="2"/>
  <c r="AR174" i="2" s="1"/>
  <c r="AN178" i="2"/>
  <c r="AR178" i="2" s="1"/>
  <c r="AN92" i="2"/>
  <c r="AR92" i="2" s="1"/>
  <c r="AL86" i="2"/>
  <c r="AR344" i="2"/>
  <c r="AR213" i="2"/>
  <c r="AN449" i="2"/>
  <c r="AR449" i="2" s="1"/>
  <c r="AN461" i="2"/>
  <c r="AR461" i="2" s="1"/>
  <c r="AN453" i="2"/>
  <c r="AR453" i="2" s="1"/>
  <c r="AN12" i="2"/>
  <c r="AR12" i="2" s="1"/>
  <c r="AN122" i="2"/>
  <c r="AN154" i="2"/>
  <c r="AR154" i="2" s="1"/>
  <c r="AN421" i="2"/>
  <c r="AR421" i="2" s="1"/>
  <c r="AN414" i="2"/>
  <c r="AR414" i="2" s="1"/>
  <c r="AN249" i="2"/>
  <c r="AR249" i="2" s="1"/>
  <c r="AN134" i="2"/>
  <c r="AR134" i="2" s="1"/>
  <c r="AR491" i="2"/>
  <c r="AR250" i="2"/>
  <c r="AR349" i="2"/>
  <c r="AR433" i="2"/>
  <c r="AR265" i="2"/>
  <c r="AR490" i="2"/>
  <c r="AL278" i="2"/>
  <c r="AP24" i="2"/>
  <c r="AR24" i="2" s="1"/>
  <c r="AP434" i="2"/>
  <c r="AR434" i="2" s="1"/>
  <c r="AN130" i="2"/>
  <c r="AR130" i="2" s="1"/>
  <c r="AN162" i="2"/>
  <c r="AR162" i="2" s="1"/>
  <c r="AN289" i="2"/>
  <c r="AR289" i="2" s="1"/>
  <c r="AN257" i="2"/>
  <c r="AR257" i="2" s="1"/>
  <c r="AN166" i="2"/>
  <c r="AR166" i="2" s="1"/>
  <c r="AN402" i="2"/>
  <c r="AR402" i="2" s="1"/>
  <c r="AN417" i="2"/>
  <c r="AR417" i="2" s="1"/>
  <c r="AN170" i="2"/>
  <c r="AR170" i="2" s="1"/>
  <c r="AN150" i="2"/>
  <c r="AR150" i="2" s="1"/>
  <c r="AR234" i="2"/>
  <c r="AL327" i="2"/>
  <c r="AL339" i="2" s="1"/>
  <c r="AR127" i="2"/>
  <c r="AP502" i="2"/>
  <c r="AR238" i="2"/>
  <c r="AL52" i="2"/>
  <c r="AL11" i="2"/>
  <c r="AL37" i="2" s="1"/>
  <c r="AJ37" i="2"/>
  <c r="X20" i="2"/>
  <c r="Y20" i="2" s="1"/>
  <c r="AA20" i="2" s="1"/>
  <c r="AA37" i="2" s="1"/>
  <c r="AN457" i="2"/>
  <c r="AR457" i="2" s="1"/>
  <c r="AN138" i="2"/>
  <c r="AR138" i="2" s="1"/>
  <c r="AN241" i="2"/>
  <c r="AR241" i="2" s="1"/>
  <c r="AN142" i="2"/>
  <c r="AR142" i="2" s="1"/>
  <c r="AB21" i="2"/>
  <c r="AC21" i="2" s="1"/>
  <c r="AN21" i="2" s="1"/>
  <c r="AN422" i="2"/>
  <c r="AR422" i="2" s="1"/>
  <c r="AN401" i="2"/>
  <c r="AN18" i="2"/>
  <c r="AR18" i="2" s="1"/>
  <c r="AN158" i="2"/>
  <c r="AR158" i="2" s="1"/>
  <c r="AN406" i="2"/>
  <c r="AR406" i="2" s="1"/>
  <c r="AN426" i="2"/>
  <c r="AR426" i="2" s="1"/>
  <c r="AN487" i="2"/>
  <c r="AR487" i="2" s="1"/>
  <c r="AL502" i="2"/>
  <c r="AR131" i="2"/>
  <c r="AL482" i="2"/>
  <c r="AP23" i="2"/>
  <c r="AR23" i="2" s="1"/>
  <c r="AP79" i="2"/>
  <c r="AR79" i="2" s="1"/>
  <c r="AN169" i="2"/>
  <c r="AR169" i="2" s="1"/>
  <c r="AN165" i="2"/>
  <c r="AR165" i="2" s="1"/>
  <c r="AN233" i="2"/>
  <c r="AR233" i="2" s="1"/>
  <c r="AN146" i="2"/>
  <c r="AR146" i="2" s="1"/>
  <c r="AN405" i="2"/>
  <c r="AR405" i="2" s="1"/>
  <c r="AN185" i="2"/>
  <c r="AR185" i="2" s="1"/>
  <c r="AN410" i="2"/>
  <c r="AR410" i="2" s="1"/>
  <c r="AN126" i="2"/>
  <c r="AR126" i="2" s="1"/>
  <c r="AN413" i="2"/>
  <c r="AR413" i="2" s="1"/>
  <c r="AN409" i="2"/>
  <c r="AR409" i="2" s="1"/>
  <c r="AN418" i="2"/>
  <c r="AR418" i="2" s="1"/>
  <c r="AR429" i="2"/>
  <c r="AL324" i="2"/>
  <c r="AR494" i="2"/>
  <c r="AR258" i="2"/>
  <c r="AP43" i="2"/>
  <c r="AR269" i="2"/>
  <c r="AR288" i="2"/>
  <c r="AP44" i="2"/>
  <c r="AR44" i="2" s="1"/>
  <c r="AP25" i="2"/>
  <c r="AR25" i="2" s="1"/>
  <c r="AB262" i="2"/>
  <c r="AC262" i="2" s="1"/>
  <c r="AR262" i="2" s="1"/>
  <c r="AB263" i="2"/>
  <c r="AC263" i="2" s="1"/>
  <c r="AR263" i="2" s="1"/>
  <c r="AB200" i="2"/>
  <c r="AC200" i="2" s="1"/>
  <c r="AR200" i="2" s="1"/>
  <c r="P389" i="2"/>
  <c r="AB243" i="2"/>
  <c r="AC243" i="2" s="1"/>
  <c r="AN243" i="2" s="1"/>
  <c r="AR243" i="2" s="1"/>
  <c r="AB22" i="2"/>
  <c r="AC22" i="2" s="1"/>
  <c r="AN22" i="2" s="1"/>
  <c r="AB260" i="2"/>
  <c r="AC260" i="2" s="1"/>
  <c r="AB471" i="2"/>
  <c r="AC471" i="2" s="1"/>
  <c r="AR471" i="2" s="1"/>
  <c r="AB532" i="2"/>
  <c r="AC532" i="2" s="1"/>
  <c r="AB470" i="2"/>
  <c r="AC470" i="2" s="1"/>
  <c r="AB253" i="2"/>
  <c r="AC253" i="2" s="1"/>
  <c r="AB76" i="2"/>
  <c r="AC76" i="2" s="1"/>
  <c r="AN76" i="2" s="1"/>
  <c r="AB467" i="2"/>
  <c r="AC467" i="2" s="1"/>
  <c r="AN467" i="2" s="1"/>
  <c r="AR467" i="2" s="1"/>
  <c r="AB74" i="2"/>
  <c r="AC74" i="2" s="1"/>
  <c r="AB259" i="2"/>
  <c r="AC259" i="2" s="1"/>
  <c r="AN259" i="2" s="1"/>
  <c r="AR259" i="2" s="1"/>
  <c r="AB254" i="2"/>
  <c r="AC254" i="2" s="1"/>
  <c r="AB197" i="2"/>
  <c r="AC197" i="2" s="1"/>
  <c r="AB73" i="2"/>
  <c r="AC73" i="2" s="1"/>
  <c r="AN73" i="2" s="1"/>
  <c r="AB75" i="2"/>
  <c r="AC75" i="2" s="1"/>
  <c r="AB77" i="2"/>
  <c r="AC77" i="2" s="1"/>
  <c r="AN77" i="2" s="1"/>
  <c r="R278" i="2"/>
  <c r="AB287" i="2"/>
  <c r="AC287" i="2" s="1"/>
  <c r="AN287" i="2" s="1"/>
  <c r="AR287" i="2" s="1"/>
  <c r="AB290" i="2"/>
  <c r="AC290" i="2" s="1"/>
  <c r="AN290" i="2" s="1"/>
  <c r="AR290" i="2" s="1"/>
  <c r="AB469" i="2"/>
  <c r="AC469" i="2" s="1"/>
  <c r="AB328" i="2"/>
  <c r="AC328" i="2" s="1"/>
  <c r="AN328" i="2" s="1"/>
  <c r="AR328" i="2" s="1"/>
  <c r="AB285" i="2"/>
  <c r="AC285" i="2" s="1"/>
  <c r="AB286" i="2"/>
  <c r="AC286" i="2" s="1"/>
  <c r="AN286" i="2" s="1"/>
  <c r="AR286" i="2" s="1"/>
  <c r="AB14" i="2"/>
  <c r="AC14" i="2" s="1"/>
  <c r="AB468" i="2"/>
  <c r="AC468" i="2" s="1"/>
  <c r="AN468" i="2" s="1"/>
  <c r="AR468" i="2" s="1"/>
  <c r="AB19" i="2"/>
  <c r="AC19" i="2" s="1"/>
  <c r="AB183" i="2"/>
  <c r="AC183" i="2" s="1"/>
  <c r="AN183" i="2" s="1"/>
  <c r="AR183" i="2" s="1"/>
  <c r="AB283" i="2"/>
  <c r="AC283" i="2" s="1"/>
  <c r="AN283" i="2" s="1"/>
  <c r="AR283" i="2" s="1"/>
  <c r="V102" i="2"/>
  <c r="AB246" i="2"/>
  <c r="AC246" i="2" s="1"/>
  <c r="AA324" i="2"/>
  <c r="AB91" i="2"/>
  <c r="AC91" i="2" s="1"/>
  <c r="AN91" i="2" s="1"/>
  <c r="X482" i="2"/>
  <c r="AB282" i="2"/>
  <c r="AC282" i="2" s="1"/>
  <c r="AN282" i="2" s="1"/>
  <c r="AR282" i="2" s="1"/>
  <c r="AB284" i="2"/>
  <c r="AC284" i="2" s="1"/>
  <c r="AB189" i="2"/>
  <c r="AC189" i="2" s="1"/>
  <c r="AB190" i="2"/>
  <c r="AC190" i="2" s="1"/>
  <c r="AB247" i="2"/>
  <c r="AC247" i="2" s="1"/>
  <c r="AN247" i="2" s="1"/>
  <c r="AR247" i="2" s="1"/>
  <c r="AB13" i="2"/>
  <c r="AC13" i="2" s="1"/>
  <c r="Y52" i="2"/>
  <c r="X52" i="2"/>
  <c r="AB45" i="2"/>
  <c r="AC45" i="2" s="1"/>
  <c r="AN45" i="2" s="1"/>
  <c r="AR45" i="2" s="1"/>
  <c r="AB465" i="2"/>
  <c r="AC465" i="2" s="1"/>
  <c r="AB466" i="2"/>
  <c r="AC466" i="2" s="1"/>
  <c r="V252" i="2"/>
  <c r="X502" i="2"/>
  <c r="T502" i="2"/>
  <c r="Y502" i="2"/>
  <c r="V502" i="2"/>
  <c r="AB239" i="2"/>
  <c r="AC239" i="2" s="1"/>
  <c r="AN239" i="2" s="1"/>
  <c r="AR239" i="2" s="1"/>
  <c r="T252" i="2"/>
  <c r="C507" i="2" s="1"/>
  <c r="AB521" i="2"/>
  <c r="AC521" i="2" s="1"/>
  <c r="AC240" i="2"/>
  <c r="AN240" i="2" s="1"/>
  <c r="AR240" i="2" s="1"/>
  <c r="AB486" i="2"/>
  <c r="AC486" i="2" s="1"/>
  <c r="AB242" i="2"/>
  <c r="AC242" i="2" s="1"/>
  <c r="AB245" i="2"/>
  <c r="AC245" i="2" s="1"/>
  <c r="AB11" i="2"/>
  <c r="AC11" i="2" s="1"/>
  <c r="AB188" i="2"/>
  <c r="AC188" i="2" s="1"/>
  <c r="AN188" i="2" s="1"/>
  <c r="AR188" i="2" s="1"/>
  <c r="AB187" i="2"/>
  <c r="AC187" i="2" s="1"/>
  <c r="AN187" i="2" s="1"/>
  <c r="AR187" i="2" s="1"/>
  <c r="AB191" i="2"/>
  <c r="AC191" i="2" s="1"/>
  <c r="AN191" i="2" s="1"/>
  <c r="AR191" i="2" s="1"/>
  <c r="T102" i="2"/>
  <c r="T52" i="2"/>
  <c r="T230" i="2"/>
  <c r="T445" i="2"/>
  <c r="V324" i="2"/>
  <c r="V52" i="2"/>
  <c r="T37" i="2"/>
  <c r="V230" i="2"/>
  <c r="V392" i="2"/>
  <c r="V397" i="2" s="1"/>
  <c r="T392" i="2"/>
  <c r="T397" i="2" s="1"/>
  <c r="AB261" i="2"/>
  <c r="AC261" i="2" s="1"/>
  <c r="AR261" i="2" s="1"/>
  <c r="AA485" i="2"/>
  <c r="AA502" i="2" s="1"/>
  <c r="T347" i="2"/>
  <c r="V347" i="2"/>
  <c r="V445" i="2"/>
  <c r="Y482" i="2"/>
  <c r="AA448" i="2"/>
  <c r="AB342" i="2"/>
  <c r="AB527" i="2"/>
  <c r="AA40" i="2"/>
  <c r="AA52" i="2" s="1"/>
  <c r="V327" i="2"/>
  <c r="V339" i="2" s="1"/>
  <c r="T327" i="2"/>
  <c r="AB95" i="2"/>
  <c r="AC95" i="2" s="1"/>
  <c r="T482" i="2"/>
  <c r="T86" i="2"/>
  <c r="V37" i="2"/>
  <c r="X230" i="2"/>
  <c r="R356" i="2"/>
  <c r="Y86" i="2"/>
  <c r="AA72" i="2"/>
  <c r="Y230" i="2"/>
  <c r="AA517" i="2"/>
  <c r="V482" i="2"/>
  <c r="Y343" i="2"/>
  <c r="B59" i="1"/>
  <c r="AB419" i="2"/>
  <c r="AA445" i="2"/>
  <c r="X86" i="2"/>
  <c r="AB281" i="2"/>
  <c r="AB181" i="2"/>
  <c r="AC181" i="2" s="1"/>
  <c r="AA102" i="2"/>
  <c r="Q119" i="2" l="1"/>
  <c r="B13" i="1"/>
  <c r="AC13" i="1" s="1"/>
  <c r="V86" i="2"/>
  <c r="N99" i="4"/>
  <c r="N114" i="4"/>
  <c r="O114" i="4" s="1"/>
  <c r="S114" i="4" s="1"/>
  <c r="M133" i="4"/>
  <c r="N148" i="4"/>
  <c r="O148" i="4" s="1"/>
  <c r="S148" i="4" s="1"/>
  <c r="N112" i="4"/>
  <c r="O112" i="4" s="1"/>
  <c r="S112" i="4" s="1"/>
  <c r="N52" i="4"/>
  <c r="N68" i="4" s="1"/>
  <c r="D15" i="1" s="1"/>
  <c r="AE15" i="1" s="1"/>
  <c r="N442" i="4"/>
  <c r="N479" i="4" s="1"/>
  <c r="D65" i="1" s="1"/>
  <c r="AE65" i="1" s="1"/>
  <c r="AB20" i="2"/>
  <c r="AC20" i="2" s="1"/>
  <c r="AN20" i="2" s="1"/>
  <c r="U113" i="4"/>
  <c r="U62" i="4"/>
  <c r="P89" i="4"/>
  <c r="O99" i="4"/>
  <c r="U111" i="4"/>
  <c r="U147" i="4"/>
  <c r="U149" i="4"/>
  <c r="S104" i="4"/>
  <c r="U126" i="4"/>
  <c r="O441" i="4"/>
  <c r="U441" i="4"/>
  <c r="U51" i="4"/>
  <c r="O86" i="4"/>
  <c r="U12" i="4"/>
  <c r="N13" i="4"/>
  <c r="O13" i="4" s="1"/>
  <c r="P13" i="4" s="1"/>
  <c r="D13" i="1"/>
  <c r="C13" i="1" s="1"/>
  <c r="AD13" i="1" s="1"/>
  <c r="O42" i="4"/>
  <c r="S42" i="4" s="1"/>
  <c r="S48" i="4" s="1"/>
  <c r="P144" i="4"/>
  <c r="Q144" i="4" s="1"/>
  <c r="T144" i="4" s="1"/>
  <c r="P445" i="4"/>
  <c r="Q445" i="4" s="1"/>
  <c r="T445" i="4" s="1"/>
  <c r="P463" i="4"/>
  <c r="Q463" i="4" s="1"/>
  <c r="T463" i="4" s="1"/>
  <c r="P108" i="4"/>
  <c r="Q108" i="4" s="1"/>
  <c r="T108" i="4" s="1"/>
  <c r="P129" i="4"/>
  <c r="Q129" i="4" s="1"/>
  <c r="T129" i="4" s="1"/>
  <c r="P57" i="4"/>
  <c r="Q57" i="4" s="1"/>
  <c r="T57" i="4" s="1"/>
  <c r="P591" i="4"/>
  <c r="Q591" i="4" s="1"/>
  <c r="P59" i="4"/>
  <c r="Q59" i="4" s="1"/>
  <c r="T59" i="4" s="1"/>
  <c r="P599" i="4"/>
  <c r="Q599" i="4" s="1"/>
  <c r="T599" i="4" s="1"/>
  <c r="P142" i="4"/>
  <c r="Q142" i="4" s="1"/>
  <c r="T142" i="4" s="1"/>
  <c r="P595" i="4"/>
  <c r="Q595" i="4" s="1"/>
  <c r="T595" i="4" s="1"/>
  <c r="U595" i="4" s="1"/>
  <c r="P78" i="4"/>
  <c r="P54" i="4"/>
  <c r="Q54" i="4" s="1"/>
  <c r="T54" i="4" s="1"/>
  <c r="P146" i="4"/>
  <c r="Q146" i="4" s="1"/>
  <c r="T146" i="4" s="1"/>
  <c r="P20" i="4"/>
  <c r="Q20" i="4" s="1"/>
  <c r="T20" i="4" s="1"/>
  <c r="P110" i="4"/>
  <c r="Q110" i="4" s="1"/>
  <c r="T110" i="4" s="1"/>
  <c r="P137" i="4"/>
  <c r="Q137" i="4" s="1"/>
  <c r="T137" i="4" s="1"/>
  <c r="P448" i="4"/>
  <c r="Q448" i="4" s="1"/>
  <c r="T448" i="4" s="1"/>
  <c r="P22" i="4"/>
  <c r="Q22" i="4" s="1"/>
  <c r="T22" i="4" s="1"/>
  <c r="P452" i="4"/>
  <c r="Q452" i="4" s="1"/>
  <c r="T452" i="4" s="1"/>
  <c r="P90" i="4"/>
  <c r="Q90" i="4" s="1"/>
  <c r="T90" i="4" s="1"/>
  <c r="P140" i="4"/>
  <c r="Q140" i="4" s="1"/>
  <c r="T140" i="4" s="1"/>
  <c r="P594" i="4"/>
  <c r="Q594" i="4" s="1"/>
  <c r="T594" i="4" s="1"/>
  <c r="U594" i="4" s="1"/>
  <c r="M37" i="4"/>
  <c r="P41" i="4"/>
  <c r="M479" i="4"/>
  <c r="B65" i="1" s="1"/>
  <c r="AC65" i="1" s="1"/>
  <c r="X37" i="2"/>
  <c r="X119" i="2" s="1"/>
  <c r="Q504" i="2"/>
  <c r="Y37" i="2"/>
  <c r="Y119" i="2" s="1"/>
  <c r="AD19" i="1"/>
  <c r="P136" i="4"/>
  <c r="M153" i="4"/>
  <c r="B31" i="1" s="1"/>
  <c r="AC31" i="1" s="1"/>
  <c r="P77" i="4"/>
  <c r="M123" i="4"/>
  <c r="B23" i="1" s="1"/>
  <c r="AC23" i="1" s="1"/>
  <c r="O147" i="4"/>
  <c r="M68" i="4"/>
  <c r="N150" i="4"/>
  <c r="B21" i="1"/>
  <c r="AC21" i="1" s="1"/>
  <c r="P447" i="4"/>
  <c r="O51" i="4"/>
  <c r="P104" i="4"/>
  <c r="O126" i="4"/>
  <c r="P139" i="4"/>
  <c r="N127" i="4"/>
  <c r="N133" i="4" s="1"/>
  <c r="AP389" i="2"/>
  <c r="AB445" i="2"/>
  <c r="AN470" i="2"/>
  <c r="AR470" i="2" s="1"/>
  <c r="AN260" i="2"/>
  <c r="AR260" i="2" s="1"/>
  <c r="R504" i="2"/>
  <c r="AP74" i="2"/>
  <c r="AR77" i="2"/>
  <c r="AR76" i="2"/>
  <c r="AP425" i="2"/>
  <c r="AP445" i="2" s="1"/>
  <c r="AP73" i="2"/>
  <c r="AR73" i="2" s="1"/>
  <c r="AP75" i="2"/>
  <c r="V119" i="2"/>
  <c r="AJ119" i="2"/>
  <c r="AJ504" i="2"/>
  <c r="AL504" i="2"/>
  <c r="AL119" i="2"/>
  <c r="T119" i="2"/>
  <c r="AP21" i="2"/>
  <c r="AR21" i="2" s="1"/>
  <c r="AP397" i="2"/>
  <c r="AN197" i="2"/>
  <c r="AR197" i="2" s="1"/>
  <c r="AP95" i="2"/>
  <c r="C509" i="2"/>
  <c r="AN466" i="2"/>
  <c r="AR466" i="2" s="1"/>
  <c r="AN465" i="2"/>
  <c r="AR465" i="2" s="1"/>
  <c r="AN284" i="2"/>
  <c r="AR284" i="2" s="1"/>
  <c r="AN75" i="2"/>
  <c r="AN253" i="2"/>
  <c r="AR253" i="2" s="1"/>
  <c r="AN245" i="2"/>
  <c r="AR245" i="2" s="1"/>
  <c r="AN246" i="2"/>
  <c r="AR246" i="2" s="1"/>
  <c r="AN19" i="2"/>
  <c r="AR19" i="2" s="1"/>
  <c r="AN285" i="2"/>
  <c r="AR285" i="2" s="1"/>
  <c r="AN74" i="2"/>
  <c r="AR401" i="2"/>
  <c r="AP20" i="2"/>
  <c r="AR20" i="2" s="1"/>
  <c r="AP22" i="2"/>
  <c r="AR22" i="2" s="1"/>
  <c r="AN181" i="2"/>
  <c r="AR181" i="2" s="1"/>
  <c r="AN13" i="2"/>
  <c r="AR13" i="2" s="1"/>
  <c r="AN11" i="2"/>
  <c r="AR11" i="2" s="1"/>
  <c r="AN242" i="2"/>
  <c r="AR242" i="2" s="1"/>
  <c r="AN190" i="2"/>
  <c r="AR190" i="2" s="1"/>
  <c r="AP78" i="2"/>
  <c r="AN486" i="2"/>
  <c r="AR486" i="2" s="1"/>
  <c r="AN189" i="2"/>
  <c r="AR189" i="2" s="1"/>
  <c r="AR91" i="2"/>
  <c r="AN102" i="2"/>
  <c r="AN14" i="2"/>
  <c r="AR14" i="2" s="1"/>
  <c r="AN469" i="2"/>
  <c r="AR469" i="2" s="1"/>
  <c r="AN254" i="2"/>
  <c r="AR254" i="2" s="1"/>
  <c r="AP52" i="2"/>
  <c r="E60" i="1"/>
  <c r="AL389" i="2"/>
  <c r="AR122" i="2"/>
  <c r="AR43" i="2"/>
  <c r="C37" i="1"/>
  <c r="R389" i="2"/>
  <c r="X392" i="2"/>
  <c r="X397" i="2" s="1"/>
  <c r="T278" i="2"/>
  <c r="X252" i="2"/>
  <c r="AC102" i="2"/>
  <c r="AC37" i="2"/>
  <c r="T339" i="2"/>
  <c r="X327" i="2"/>
  <c r="V278" i="2"/>
  <c r="T356" i="2"/>
  <c r="X347" i="2"/>
  <c r="AB37" i="2"/>
  <c r="AC527" i="2"/>
  <c r="AB102" i="2"/>
  <c r="AC419" i="2"/>
  <c r="AN419" i="2" s="1"/>
  <c r="AR419" i="2" s="1"/>
  <c r="AA343" i="2"/>
  <c r="AB40" i="2"/>
  <c r="AA86" i="2"/>
  <c r="AB72" i="2"/>
  <c r="AB86" i="2" s="1"/>
  <c r="AA482" i="2"/>
  <c r="AB448" i="2"/>
  <c r="AB482" i="2" s="1"/>
  <c r="V356" i="2"/>
  <c r="AB324" i="2"/>
  <c r="AC281" i="2"/>
  <c r="AA230" i="2"/>
  <c r="AB517" i="2"/>
  <c r="AB230" i="2" s="1"/>
  <c r="AC342" i="2"/>
  <c r="AN342" i="2" s="1"/>
  <c r="AR342" i="2" s="1"/>
  <c r="AB485" i="2"/>
  <c r="O52" i="4" l="1"/>
  <c r="S52" i="4" s="1"/>
  <c r="S68" i="4" s="1"/>
  <c r="N153" i="4"/>
  <c r="N123" i="4"/>
  <c r="D23" i="1" s="1"/>
  <c r="AE23" i="1" s="1"/>
  <c r="O442" i="4"/>
  <c r="S442" i="4" s="1"/>
  <c r="S479" i="4" s="1"/>
  <c r="F65" i="1" s="1"/>
  <c r="AG65" i="1" s="1"/>
  <c r="U452" i="4"/>
  <c r="U108" i="4"/>
  <c r="U463" i="4"/>
  <c r="U22" i="4"/>
  <c r="U448" i="4"/>
  <c r="U142" i="4"/>
  <c r="U445" i="4"/>
  <c r="U599" i="4"/>
  <c r="U144" i="4"/>
  <c r="AD37" i="1"/>
  <c r="C59" i="1"/>
  <c r="U110" i="4"/>
  <c r="U59" i="4"/>
  <c r="U20" i="4"/>
  <c r="T591" i="4"/>
  <c r="U591" i="4" s="1"/>
  <c r="P99" i="4"/>
  <c r="U140" i="4"/>
  <c r="U146" i="4"/>
  <c r="U57" i="4"/>
  <c r="T99" i="4"/>
  <c r="Q99" i="4"/>
  <c r="U54" i="4"/>
  <c r="U129" i="4"/>
  <c r="M520" i="4"/>
  <c r="O123" i="4"/>
  <c r="S123" i="4"/>
  <c r="P441" i="4"/>
  <c r="O479" i="4"/>
  <c r="O68" i="4"/>
  <c r="O48" i="4"/>
  <c r="P86" i="4"/>
  <c r="AE13" i="1"/>
  <c r="B9" i="1"/>
  <c r="P42" i="4"/>
  <c r="Q42" i="4" s="1"/>
  <c r="T42" i="4" s="1"/>
  <c r="Q104" i="4"/>
  <c r="T104" i="4" s="1"/>
  <c r="S13" i="4"/>
  <c r="S37" i="4" s="1"/>
  <c r="Q78" i="4"/>
  <c r="T78" i="4" s="1"/>
  <c r="AR75" i="2"/>
  <c r="P148" i="4"/>
  <c r="Q148" i="4" s="1"/>
  <c r="T148" i="4" s="1"/>
  <c r="P442" i="4"/>
  <c r="P114" i="4"/>
  <c r="Q114" i="4" s="1"/>
  <c r="T114" i="4" s="1"/>
  <c r="P52" i="4"/>
  <c r="P112" i="4"/>
  <c r="Q112" i="4" s="1"/>
  <c r="T112" i="4" s="1"/>
  <c r="AG19" i="1"/>
  <c r="Q13" i="4"/>
  <c r="T13" i="4" s="1"/>
  <c r="C65" i="1"/>
  <c r="AD65" i="1" s="1"/>
  <c r="D31" i="1"/>
  <c r="AE31" i="1" s="1"/>
  <c r="O127" i="4"/>
  <c r="S127" i="4" s="1"/>
  <c r="S133" i="4" s="1"/>
  <c r="F13" i="1"/>
  <c r="AG13" i="1" s="1"/>
  <c r="B15" i="1"/>
  <c r="AC15" i="1" s="1"/>
  <c r="M155" i="4"/>
  <c r="C23" i="1"/>
  <c r="AD23" i="1" s="1"/>
  <c r="P147" i="4"/>
  <c r="O150" i="4"/>
  <c r="S150" i="4" s="1"/>
  <c r="S153" i="4" s="1"/>
  <c r="D21" i="1"/>
  <c r="AE21" i="1" s="1"/>
  <c r="P126" i="4"/>
  <c r="P51" i="4"/>
  <c r="AR74" i="2"/>
  <c r="T504" i="2"/>
  <c r="AR425" i="2"/>
  <c r="AR445" i="2" s="1"/>
  <c r="V504" i="2"/>
  <c r="AP72" i="2"/>
  <c r="AP86" i="2" s="1"/>
  <c r="AA119" i="2"/>
  <c r="AL120" i="2"/>
  <c r="AR95" i="2"/>
  <c r="AR102" i="2" s="1"/>
  <c r="AP102" i="2"/>
  <c r="AP37" i="2"/>
  <c r="AR230" i="2"/>
  <c r="AN230" i="2"/>
  <c r="AR37" i="2"/>
  <c r="AR78" i="2"/>
  <c r="AC324" i="2"/>
  <c r="AN281" i="2"/>
  <c r="AN324" i="2" s="1"/>
  <c r="AN37" i="2"/>
  <c r="AN445" i="2"/>
  <c r="T389" i="2"/>
  <c r="V389" i="2"/>
  <c r="Y392" i="2"/>
  <c r="Y397" i="2" s="1"/>
  <c r="Y252" i="2"/>
  <c r="X278" i="2"/>
  <c r="AC445" i="2"/>
  <c r="X339" i="2"/>
  <c r="Y327" i="2"/>
  <c r="AB502" i="2"/>
  <c r="Y347" i="2"/>
  <c r="X356" i="2"/>
  <c r="AB52" i="2"/>
  <c r="AC448" i="2"/>
  <c r="AC485" i="2"/>
  <c r="AN485" i="2" s="1"/>
  <c r="AC40" i="2"/>
  <c r="AC517" i="2"/>
  <c r="AC230" i="2" s="1"/>
  <c r="AC72" i="2"/>
  <c r="AB343" i="2"/>
  <c r="AD59" i="1" l="1"/>
  <c r="P68" i="4"/>
  <c r="U112" i="4"/>
  <c r="U114" i="4"/>
  <c r="U90" i="4"/>
  <c r="U99" i="4" s="1"/>
  <c r="U148" i="4"/>
  <c r="Q123" i="4"/>
  <c r="E23" i="1" s="1"/>
  <c r="P479" i="4"/>
  <c r="O133" i="4"/>
  <c r="U137" i="4"/>
  <c r="P48" i="4"/>
  <c r="P123" i="4"/>
  <c r="O153" i="4"/>
  <c r="Q86" i="4"/>
  <c r="AF19" i="1" s="1"/>
  <c r="Q48" i="4"/>
  <c r="E13" i="1" s="1"/>
  <c r="AF13" i="1" s="1"/>
  <c r="Q37" i="4"/>
  <c r="Q442" i="4"/>
  <c r="T442" i="4" s="1"/>
  <c r="Q52" i="4"/>
  <c r="T52" i="4" s="1"/>
  <c r="P127" i="4"/>
  <c r="P133" i="4" s="1"/>
  <c r="F15" i="1"/>
  <c r="AG15" i="1" s="1"/>
  <c r="C31" i="1"/>
  <c r="AD31" i="1" s="1"/>
  <c r="C15" i="1"/>
  <c r="AD15" i="1" s="1"/>
  <c r="C21" i="1"/>
  <c r="AD21" i="1" s="1"/>
  <c r="P150" i="4"/>
  <c r="Q150" i="4" s="1"/>
  <c r="T150" i="4" s="1"/>
  <c r="X504" i="2"/>
  <c r="AB119" i="2"/>
  <c r="AP504" i="2"/>
  <c r="AP119" i="2"/>
  <c r="AC86" i="2"/>
  <c r="AN72" i="2"/>
  <c r="AC482" i="2"/>
  <c r="AN448" i="2"/>
  <c r="AC52" i="2"/>
  <c r="AN40" i="2"/>
  <c r="AR281" i="2"/>
  <c r="AR324" i="2" s="1"/>
  <c r="AR485" i="2"/>
  <c r="AR502" i="2" s="1"/>
  <c r="AN502" i="2"/>
  <c r="X389" i="2"/>
  <c r="AA392" i="2"/>
  <c r="AA397" i="2" s="1"/>
  <c r="AA252" i="2"/>
  <c r="Y278" i="2"/>
  <c r="Y339" i="2"/>
  <c r="AA327" i="2"/>
  <c r="AC502" i="2"/>
  <c r="AA347" i="2"/>
  <c r="Y356" i="2"/>
  <c r="AC343" i="2"/>
  <c r="AR343" i="2" s="1"/>
  <c r="U150" i="4" l="1"/>
  <c r="U153" i="4" s="1"/>
  <c r="T153" i="4"/>
  <c r="Q153" i="4"/>
  <c r="E31" i="1" s="1"/>
  <c r="AF31" i="1" s="1"/>
  <c r="U104" i="4"/>
  <c r="U123" i="4" s="1"/>
  <c r="T123" i="4"/>
  <c r="Q479" i="4"/>
  <c r="E65" i="1" s="1"/>
  <c r="AF65" i="1" s="1"/>
  <c r="P153" i="4"/>
  <c r="U42" i="4"/>
  <c r="T48" i="4"/>
  <c r="G13" i="1" s="1"/>
  <c r="AH13" i="1" s="1"/>
  <c r="Q68" i="4"/>
  <c r="U78" i="4"/>
  <c r="U86" i="4" s="1"/>
  <c r="H19" i="1" s="1"/>
  <c r="AI19" i="1" s="1"/>
  <c r="T86" i="4"/>
  <c r="AH19" i="1" s="1"/>
  <c r="U13" i="4"/>
  <c r="U37" i="4" s="1"/>
  <c r="T37" i="4"/>
  <c r="Q127" i="4"/>
  <c r="T127" i="4" s="1"/>
  <c r="F23" i="1"/>
  <c r="AG23" i="1" s="1"/>
  <c r="Y504" i="2"/>
  <c r="AC119" i="2"/>
  <c r="AR448" i="2"/>
  <c r="AR482" i="2" s="1"/>
  <c r="AN482" i="2"/>
  <c r="AR72" i="2"/>
  <c r="AR86" i="2" s="1"/>
  <c r="AN86" i="2"/>
  <c r="AR40" i="2"/>
  <c r="AR52" i="2" s="1"/>
  <c r="AN52" i="2"/>
  <c r="Y389" i="2"/>
  <c r="AB392" i="2"/>
  <c r="AA278" i="2"/>
  <c r="AB252" i="2"/>
  <c r="AA339" i="2"/>
  <c r="AB327" i="2"/>
  <c r="AB347" i="2"/>
  <c r="AA356" i="2"/>
  <c r="U442" i="4" l="1"/>
  <c r="U479" i="4" s="1"/>
  <c r="H65" i="1" s="1"/>
  <c r="AI65" i="1" s="1"/>
  <c r="T479" i="4"/>
  <c r="G65" i="1" s="1"/>
  <c r="AH65" i="1" s="1"/>
  <c r="E15" i="1"/>
  <c r="AF15" i="1" s="1"/>
  <c r="Q133" i="4"/>
  <c r="U52" i="4"/>
  <c r="U68" i="4" s="1"/>
  <c r="H15" i="1" s="1"/>
  <c r="AI15" i="1" s="1"/>
  <c r="T68" i="4"/>
  <c r="G15" i="1" s="1"/>
  <c r="AH15" i="1" s="1"/>
  <c r="U48" i="4"/>
  <c r="H13" i="1" s="1"/>
  <c r="AI13" i="1" s="1"/>
  <c r="G23" i="1"/>
  <c r="AH23" i="1" s="1"/>
  <c r="AA504" i="2"/>
  <c r="AN119" i="2"/>
  <c r="AR119" i="2"/>
  <c r="AR120" i="2" s="1"/>
  <c r="AA389" i="2"/>
  <c r="AB397" i="2"/>
  <c r="AC392" i="2"/>
  <c r="AC252" i="2"/>
  <c r="AB278" i="2"/>
  <c r="AB339" i="2"/>
  <c r="AC327" i="2"/>
  <c r="AC347" i="2"/>
  <c r="AB356" i="2"/>
  <c r="Q155" i="4" l="1"/>
  <c r="Q520" i="4"/>
  <c r="U127" i="4"/>
  <c r="U133" i="4" s="1"/>
  <c r="T133" i="4"/>
  <c r="H23" i="1"/>
  <c r="AI23" i="1" s="1"/>
  <c r="F31" i="1"/>
  <c r="AG31" i="1" s="1"/>
  <c r="E21" i="1"/>
  <c r="AF21" i="1" s="1"/>
  <c r="AN392" i="2"/>
  <c r="AN397" i="2" s="1"/>
  <c r="AB504" i="2"/>
  <c r="AC278" i="2"/>
  <c r="AN252" i="2"/>
  <c r="AC356" i="2"/>
  <c r="AN347" i="2"/>
  <c r="AR347" i="2" s="1"/>
  <c r="AC339" i="2"/>
  <c r="AN327" i="2"/>
  <c r="AN339" i="2" s="1"/>
  <c r="AB389" i="2"/>
  <c r="AC397" i="2"/>
  <c r="S155" i="4" l="1"/>
  <c r="S520" i="4"/>
  <c r="F21" i="1"/>
  <c r="AG21" i="1" s="1"/>
  <c r="G31" i="1"/>
  <c r="AH31" i="1" s="1"/>
  <c r="AR392" i="2"/>
  <c r="AR397" i="2" s="1"/>
  <c r="AC504" i="2"/>
  <c r="AC389" i="2"/>
  <c r="AR327" i="2"/>
  <c r="AR339" i="2" s="1"/>
  <c r="AR252" i="2"/>
  <c r="AR278" i="2" s="1"/>
  <c r="AN278" i="2"/>
  <c r="AN504" i="2" s="1"/>
  <c r="T520" i="4" l="1"/>
  <c r="T155" i="4"/>
  <c r="G21" i="1"/>
  <c r="AH21" i="1" s="1"/>
  <c r="H31" i="1"/>
  <c r="AI31" i="1" s="1"/>
  <c r="AR504" i="2"/>
  <c r="AN389" i="2"/>
  <c r="AR389" i="2"/>
  <c r="N12" i="4"/>
  <c r="N37" i="4" s="1"/>
  <c r="U155" i="4" l="1"/>
  <c r="U520" i="4"/>
  <c r="N520" i="4"/>
  <c r="N155" i="4"/>
  <c r="H21" i="1"/>
  <c r="AI21" i="1" s="1"/>
  <c r="O12" i="4"/>
  <c r="O37" i="4" s="1"/>
  <c r="AC9" i="1"/>
  <c r="B25" i="1"/>
  <c r="B33" i="1" s="1"/>
  <c r="D25" i="1"/>
  <c r="AE25" i="1" s="1"/>
  <c r="O520" i="4" l="1"/>
  <c r="O155" i="4"/>
  <c r="AC25" i="1"/>
  <c r="P12" i="4"/>
  <c r="H9" i="1"/>
  <c r="C25" i="1"/>
  <c r="AD25" i="1" s="1"/>
  <c r="E9" i="1"/>
  <c r="E25" i="1"/>
  <c r="AF25" i="1" s="1"/>
  <c r="G25" i="1"/>
  <c r="AH25" i="1" s="1"/>
  <c r="D9" i="1"/>
  <c r="D63" i="1"/>
  <c r="AC33" i="1" l="1"/>
  <c r="AE9" i="1"/>
  <c r="D33" i="1"/>
  <c r="AE63" i="1"/>
  <c r="D71" i="1"/>
  <c r="AF9" i="1"/>
  <c r="E33" i="1"/>
  <c r="E34" i="1" s="1"/>
  <c r="AI9" i="1"/>
  <c r="H33" i="1"/>
  <c r="P37" i="4"/>
  <c r="B63" i="1"/>
  <c r="G9" i="1"/>
  <c r="F25" i="1"/>
  <c r="AG25" i="1" s="1"/>
  <c r="H25" i="1"/>
  <c r="AI25" i="1" s="1"/>
  <c r="G63" i="1"/>
  <c r="C9" i="1"/>
  <c r="C33" i="1" s="1"/>
  <c r="F9" i="1"/>
  <c r="AE33" i="1" l="1"/>
  <c r="AE71" i="1"/>
  <c r="AC63" i="1"/>
  <c r="B71" i="1"/>
  <c r="B73" i="1" s="1"/>
  <c r="B74" i="1" s="1"/>
  <c r="AG9" i="1"/>
  <c r="F33" i="1"/>
  <c r="AH63" i="1"/>
  <c r="G71" i="1"/>
  <c r="AH9" i="1"/>
  <c r="G33" i="1"/>
  <c r="P520" i="4"/>
  <c r="P155" i="4"/>
  <c r="AD9" i="1"/>
  <c r="AI33" i="1"/>
  <c r="D73" i="1"/>
  <c r="H34" i="1"/>
  <c r="C63" i="1"/>
  <c r="C71" i="1" s="1"/>
  <c r="F63" i="1"/>
  <c r="E63" i="1"/>
  <c r="AE73" i="1" l="1"/>
  <c r="AC71" i="1"/>
  <c r="AD33" i="1"/>
  <c r="AH71" i="1"/>
  <c r="AG33" i="1"/>
  <c r="AF63" i="1"/>
  <c r="E71" i="1"/>
  <c r="E73" i="1" s="1"/>
  <c r="E74" i="1" s="1"/>
  <c r="AG63" i="1"/>
  <c r="F71" i="1"/>
  <c r="F73" i="1" s="1"/>
  <c r="AH33" i="1"/>
  <c r="C73" i="1"/>
  <c r="AD63" i="1"/>
  <c r="G73" i="1"/>
  <c r="H63" i="1"/>
  <c r="AE74" i="1" l="1"/>
  <c r="AD71" i="1"/>
  <c r="AC73" i="1"/>
  <c r="AF71" i="1"/>
  <c r="AH73" i="1"/>
  <c r="AG71" i="1"/>
  <c r="AI63" i="1"/>
  <c r="H71" i="1"/>
  <c r="H73" i="1" s="1"/>
  <c r="H74" i="1" s="1"/>
  <c r="AC74" i="1" l="1"/>
  <c r="AH74" i="1"/>
  <c r="AD73" i="1"/>
  <c r="AI71" i="1"/>
  <c r="AG73" i="1"/>
  <c r="AD74" i="1" l="1"/>
  <c r="AG74" i="1"/>
  <c r="AI73" i="1"/>
  <c r="AI74" i="1" l="1"/>
  <c r="AF23" i="1" l="1"/>
  <c r="W33" i="1"/>
  <c r="W73" i="1" s="1"/>
  <c r="W74" i="1" s="1"/>
  <c r="AF33" i="1" l="1"/>
  <c r="AF73" i="1" l="1"/>
  <c r="A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A19" authorId="0" shapeId="0" xr:uid="{3A54C0A4-F46D-41E5-8871-439ECDA629CE}">
      <text>
        <r>
          <rPr>
            <b/>
            <sz val="9"/>
            <color indexed="81"/>
            <rFont val="Tahoma"/>
            <family val="2"/>
          </rPr>
          <t xml:space="preserve">Adam Green:
</t>
        </r>
        <r>
          <rPr>
            <sz val="9"/>
            <color indexed="81"/>
            <rFont val="Tahoma"/>
            <family val="2"/>
          </rPr>
          <t>Unreg county contract for tractor hauling.</t>
        </r>
      </text>
    </comment>
    <comment ref="J19" authorId="0" shapeId="0" xr:uid="{40D4279B-41E8-4475-B0A6-E807207983CB}">
      <text>
        <r>
          <rPr>
            <b/>
            <sz val="9"/>
            <color indexed="81"/>
            <rFont val="Tahoma"/>
            <family val="2"/>
          </rPr>
          <t xml:space="preserve">Adam Green:
</t>
        </r>
        <r>
          <rPr>
            <sz val="9"/>
            <color indexed="81"/>
            <rFont val="Tahoma"/>
            <family val="2"/>
          </rPr>
          <t>Unreg county contract for tractor hauling.</t>
        </r>
      </text>
    </comment>
    <comment ref="S19" authorId="0" shapeId="0" xr:uid="{06F3DF0F-4C5D-4B64-8208-E513E0A818D6}">
      <text>
        <r>
          <rPr>
            <b/>
            <sz val="9"/>
            <color indexed="81"/>
            <rFont val="Tahoma"/>
            <family val="2"/>
          </rPr>
          <t xml:space="preserve">Adam Green:
</t>
        </r>
        <r>
          <rPr>
            <sz val="9"/>
            <color indexed="81"/>
            <rFont val="Tahoma"/>
            <family val="2"/>
          </rPr>
          <t>Unreg county contract for tractor hauling.</t>
        </r>
      </text>
    </comment>
    <comment ref="AB19" authorId="0" shapeId="0" xr:uid="{EF620142-5C1B-49B2-B5EB-5FDD7E24A082}">
      <text>
        <r>
          <rPr>
            <b/>
            <sz val="9"/>
            <color indexed="81"/>
            <rFont val="Tahoma"/>
            <family val="2"/>
          </rPr>
          <t xml:space="preserve">Adam Green:
</t>
        </r>
        <r>
          <rPr>
            <sz val="9"/>
            <color indexed="81"/>
            <rFont val="Tahoma"/>
            <family val="2"/>
          </rPr>
          <t>Unreg county contract for tractor hauling.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Puryear</author>
  </authors>
  <commentList>
    <comment ref="L13" authorId="0" shapeId="0" xr:uid="{287DDBD3-5303-451B-9709-8B9CC9573044}">
      <text>
        <r>
          <rPr>
            <sz val="9"/>
            <color indexed="81"/>
            <rFont val="Tahoma"/>
            <family val="2"/>
          </rPr>
          <t>Multiple accounts are allowed
Example: 14110,15110 
or a range of accounts 
Example:
14110..15110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  <author>Lindsay Waldram</author>
    <author>WCNX</author>
    <author>Information Services</author>
    <author>heatherg</author>
  </authors>
  <commentList>
    <comment ref="E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REL trucks are only used in UTC area. City of Shelton is carts only.</t>
        </r>
      </text>
    </comment>
    <comment ref="C71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Hauls regulated &amp; non-regulated commingle to market.</t>
        </r>
      </text>
    </comment>
    <comment ref="D147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Converted to container delivery in 2014.</t>
        </r>
      </text>
    </comment>
    <comment ref="E385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>Information Services:</t>
        </r>
        <r>
          <rPr>
            <sz val="8"/>
            <color indexed="81"/>
            <rFont val="Tahoma"/>
            <family val="2"/>
          </rPr>
          <t xml:space="preserve">
I assume these relate to recy or the contract</t>
        </r>
      </text>
    </comment>
    <comment ref="M543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Information Services:</t>
        </r>
        <r>
          <rPr>
            <sz val="8"/>
            <color indexed="81"/>
            <rFont val="Tahoma"/>
            <family val="2"/>
          </rPr>
          <t xml:space="preserve"> Stf # is more than co to provide for addl eq/ motel/tvl/meals
for transfer costs</t>
        </r>
      </text>
    </comment>
    <comment ref="E547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2160 1/1/2014.</t>
        </r>
      </text>
    </comment>
    <comment ref="D553" authorId="4" shapeId="0" xr:uid="{00000000-0006-0000-0100-000008000000}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Transferred to 2188 9/2015.</t>
        </r>
      </text>
    </comment>
    <comment ref="B571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Moved from Shelton area per controller.  We were informed only the trucks 11 &amp; 41 run in Shelton</t>
        </r>
      </text>
    </comment>
    <comment ref="B572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On FAR parent account showed 183682 however that already had TT&amp;L.  Assumed it's related to 183685 since it iddn't have TT&amp;L.</t>
        </r>
      </text>
    </comment>
    <comment ref="E57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Heather Garland:
Retired?</t>
        </r>
      </text>
    </comment>
    <comment ref="E58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was transferred from 2183 (Pacific).  It had amortization of salvage value there as well.  Updated date to be the beginning of the amortization at Pacific.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Rodriguez</author>
  </authors>
  <commentList>
    <comment ref="P28" authorId="0" shapeId="0" xr:uid="{ED812357-416E-45FB-915A-EF2DDC746708}">
      <text>
        <r>
          <rPr>
            <b/>
            <sz val="9"/>
            <color indexed="81"/>
            <rFont val="Tahoma"/>
            <family val="2"/>
          </rPr>
          <t>Add / Replace</t>
        </r>
      </text>
    </comment>
    <comment ref="Q28" authorId="0" shapeId="0" xr:uid="{79BCD25E-F055-47CF-9246-BCE6B3518D74}">
      <text>
        <r>
          <rPr>
            <b/>
            <sz val="9"/>
            <color indexed="81"/>
            <rFont val="Tahoma"/>
            <family val="2"/>
          </rPr>
          <t>New / Used</t>
        </r>
      </text>
    </comment>
    <comment ref="AH28" authorId="0" shapeId="0" xr:uid="{960D12EA-476F-4855-A69A-3EB6A7231E48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J28" authorId="0" shapeId="0" xr:uid="{9A8FBAA3-CE23-427F-AF0C-572C94D51B87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L28" authorId="0" shapeId="0" xr:uid="{2D3E48F2-20C2-461D-A6C6-9ACF263D5F39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N28" authorId="0" shapeId="0" xr:uid="{AE6E60A9-89BA-4665-A0C8-6E9941AA8ED0}">
      <text>
        <r>
          <rPr>
            <b/>
            <sz val="9"/>
            <color indexed="81"/>
            <rFont val="Tahoma"/>
            <family val="2"/>
          </rPr>
          <t xml:space="preserve">This field will not be uploaded to DMS
</t>
        </r>
        <r>
          <rPr>
            <sz val="9"/>
            <color indexed="81"/>
            <rFont val="Tahoma"/>
            <family val="2"/>
          </rPr>
          <t>Text will become a hyperlink when you pull again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Lindsay Waldram</author>
    <author>Information Services</author>
    <author>heatherg</author>
  </authors>
  <commentList>
    <comment ref="C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Converted to container delivery in 2014.</t>
        </r>
      </text>
    </comment>
    <comment ref="B57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Hauls regulated &amp; non-regulated per field</t>
        </r>
      </text>
    </comment>
    <comment ref="A11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On FAR parent account showed 183682 however that already had TT&amp;L.  Assumed it's related to 183685 since it iddn't have TT&amp;L.</t>
        </r>
      </text>
    </comment>
    <comment ref="D34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Information Services:</t>
        </r>
        <r>
          <rPr>
            <sz val="8"/>
            <color indexed="81"/>
            <rFont val="Tahoma"/>
            <family val="2"/>
          </rPr>
          <t xml:space="preserve">
I assume these relate to recy or the contract</t>
        </r>
      </text>
    </comment>
    <comment ref="N52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Information Services:</t>
        </r>
        <r>
          <rPr>
            <sz val="8"/>
            <color indexed="81"/>
            <rFont val="Tahoma"/>
            <family val="2"/>
          </rPr>
          <t xml:space="preserve"> Stf # is more than co to provide for addl eq/ motel/tvl/meals
for transfer costs</t>
        </r>
      </text>
    </comment>
    <comment ref="D531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2160 1/1/2014.</t>
        </r>
      </text>
    </comment>
    <comment ref="C537" authorId="3" shapeId="0" xr:uid="{00000000-0006-0000-0300-000007000000}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Transferred to 2188 9/2015.</t>
        </r>
      </text>
    </comment>
    <comment ref="N550" authorId="2" shapeId="0" xr:uid="{00000000-0006-0000-0300-000008000000}">
      <text>
        <r>
          <rPr>
            <b/>
            <sz val="8"/>
            <color indexed="81"/>
            <rFont val="Tahoma"/>
            <family val="2"/>
          </rPr>
          <t>Information Services:</t>
        </r>
        <r>
          <rPr>
            <sz val="8"/>
            <color indexed="81"/>
            <rFont val="Tahoma"/>
            <family val="2"/>
          </rPr>
          <t xml:space="preserve"> Stf # is more than co to provide for addl eq/ motel/tvl/meals
for transfer costs</t>
        </r>
      </text>
    </comment>
  </commentList>
</comments>
</file>

<file path=xl/sharedStrings.xml><?xml version="1.0" encoding="utf-8"?>
<sst xmlns="http://schemas.openxmlformats.org/spreadsheetml/2006/main" count="11137" uniqueCount="1994">
  <si>
    <t>Depreciation Summary</t>
  </si>
  <si>
    <t>Mason County Garbage</t>
  </si>
  <si>
    <t xml:space="preserve"> </t>
  </si>
  <si>
    <t xml:space="preserve">Beginng  </t>
  </si>
  <si>
    <t>Ending</t>
  </si>
  <si>
    <t>Average</t>
  </si>
  <si>
    <t>Acc Depr</t>
  </si>
  <si>
    <t>Investment</t>
  </si>
  <si>
    <t>Cost</t>
  </si>
  <si>
    <t>Salvage</t>
  </si>
  <si>
    <t>Depr Costs</t>
  </si>
  <si>
    <t>Depr</t>
  </si>
  <si>
    <t>Roll-off</t>
  </si>
  <si>
    <t>TF Truck</t>
  </si>
  <si>
    <t>Total Trucks</t>
  </si>
  <si>
    <t>Containers:</t>
  </si>
  <si>
    <t>Containers</t>
  </si>
  <si>
    <t>Drop Box</t>
  </si>
  <si>
    <t>Carts - Recycling</t>
  </si>
  <si>
    <t>Comm Recyl Non-Reg</t>
  </si>
  <si>
    <t>Total Cont, Carts</t>
  </si>
  <si>
    <t>Service Equipment</t>
  </si>
  <si>
    <t>Shop Equipment</t>
  </si>
  <si>
    <t>Office Equipment</t>
  </si>
  <si>
    <t>Leasehold Improvement</t>
  </si>
  <si>
    <t>Total</t>
  </si>
  <si>
    <t>Total Equipment</t>
  </si>
  <si>
    <t>Mason County Garbage Company</t>
  </si>
  <si>
    <t>Depreciation Schedule</t>
  </si>
  <si>
    <t>Months in first year</t>
  </si>
  <si>
    <t>CONVENTIONS</t>
  </si>
  <si>
    <t>Months in second year</t>
  </si>
  <si>
    <t>A.</t>
  </si>
  <si>
    <t>Purchase date</t>
  </si>
  <si>
    <t>First year</t>
  </si>
  <si>
    <t>B.</t>
  </si>
  <si>
    <t>End of Test Period</t>
  </si>
  <si>
    <t xml:space="preserve">Calendar year test period: </t>
  </si>
  <si>
    <t>mos in first year</t>
  </si>
  <si>
    <t>C</t>
  </si>
  <si>
    <t>Date fully Depr</t>
  </si>
  <si>
    <t>mos in 2nd year</t>
  </si>
  <si>
    <t>D.</t>
  </si>
  <si>
    <t>Beg of Test Period</t>
  </si>
  <si>
    <t>E.</t>
  </si>
  <si>
    <t>Disposition Date</t>
  </si>
  <si>
    <t>Second Year</t>
  </si>
  <si>
    <t>Disposal</t>
  </si>
  <si>
    <t>Beginning</t>
  </si>
  <si>
    <t>Allocated</t>
  </si>
  <si>
    <t>GARBAGE</t>
  </si>
  <si>
    <t>Date in</t>
  </si>
  <si>
    <t>Year</t>
  </si>
  <si>
    <t>Asset</t>
  </si>
  <si>
    <t>Test</t>
  </si>
  <si>
    <t>%</t>
  </si>
  <si>
    <t>Accumulated</t>
  </si>
  <si>
    <t>Branch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</si>
  <si>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</si>
  <si>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</si>
  <si>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</si>
  <si>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</si>
  <si>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</si>
  <si>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</si>
  <si>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</si>
  <si>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 Mo.</t>
  </si>
  <si>
    <t xml:space="preserve">Monthly </t>
  </si>
  <si>
    <t>Depn</t>
  </si>
  <si>
    <t>Test yr.</t>
  </si>
  <si>
    <t>Allo.</t>
  </si>
  <si>
    <t>Test year</t>
  </si>
  <si>
    <t>Depreciation</t>
  </si>
  <si>
    <t>Depr.</t>
  </si>
  <si>
    <t>B</t>
  </si>
  <si>
    <t>C.</t>
  </si>
  <si>
    <t>Dispositions must be in test period</t>
  </si>
  <si>
    <t>Codes</t>
  </si>
  <si>
    <t>No</t>
  </si>
  <si>
    <t>Asset Classification</t>
  </si>
  <si>
    <t>Mo</t>
  </si>
  <si>
    <t>-</t>
  </si>
  <si>
    <t>M</t>
  </si>
  <si>
    <t>Years</t>
  </si>
  <si>
    <t>Depn.</t>
  </si>
  <si>
    <t>Cont Del</t>
  </si>
  <si>
    <t>94 Freightliner, conv to cont del truck</t>
  </si>
  <si>
    <t>S/L</t>
  </si>
  <si>
    <t>but 1/2 of net assets for average investment</t>
  </si>
  <si>
    <t>RL P</t>
  </si>
  <si>
    <t>Fleet Upgrade</t>
  </si>
  <si>
    <t>Carts-G</t>
  </si>
  <si>
    <t>C1</t>
  </si>
  <si>
    <t>Container Delivery 1GTHK23113F156563</t>
  </si>
  <si>
    <t>2007 Int'l w/25 yd RL, HTWGAZR97J46127</t>
  </si>
  <si>
    <t>Autom G</t>
  </si>
  <si>
    <t>Automated Truck, Labrie Pckr 100%</t>
  </si>
  <si>
    <t>8 Cameras 2,6,8,12,15,19,2,3</t>
  </si>
  <si>
    <t>1999 Ptrblt 24yd Autom (U) A43327E  (Lemay)</t>
  </si>
  <si>
    <t xml:space="preserve">1999 Ptrblt 24yd Autom (U) A43431D </t>
  </si>
  <si>
    <t xml:space="preserve">RL </t>
  </si>
  <si>
    <t>2009 Int'l w 20yd Heil Pckr 09-0036 (N)</t>
  </si>
  <si>
    <t>2009 Int'l w 20yd Heil Pckr 09-0037 (N)</t>
  </si>
  <si>
    <t>2009 Int'l w 20yd Heil Pckr 09-0038 (N)</t>
  </si>
  <si>
    <t>2009 Int'l w 20yd Heil Pckr 09-0039 (N)</t>
  </si>
  <si>
    <t>2009 Int'l w 20yd Heil Pckr 09-0040 (N)</t>
  </si>
  <si>
    <t>2009 Int'l w 20yd Heil Pckr 09-0035 (N)</t>
  </si>
  <si>
    <t>Drive Cams,3,4,10,16,23,31,32,33,34,35,36,</t>
  </si>
  <si>
    <t>Drive Cams</t>
  </si>
  <si>
    <t>Total Regulated Packer Trucks</t>
  </si>
  <si>
    <t>RO-SP</t>
  </si>
  <si>
    <t>2003 Peterbuilt 378 RO Trk</t>
  </si>
  <si>
    <t>RO</t>
  </si>
  <si>
    <t>2006 Peterbuilt, Cascon Chain Drive  100%</t>
  </si>
  <si>
    <t xml:space="preserve">Volvo (U) </t>
  </si>
  <si>
    <t>2010 Peterbuilt  w/Roll-Off Boom Hoist (N)</t>
  </si>
  <si>
    <t>Drive Cams,7,24,25</t>
  </si>
  <si>
    <t>New Transmission</t>
  </si>
  <si>
    <t>Total Roll-off</t>
  </si>
  <si>
    <t>Trctr</t>
  </si>
  <si>
    <t>2000 Peterbuilt, Drop Axle Trctr (U) TF</t>
  </si>
  <si>
    <t>Recycling Equipment  Regulated</t>
  </si>
  <si>
    <t>Autom R</t>
  </si>
  <si>
    <t>2009 ASL Tnd Axle</t>
  </si>
  <si>
    <t>2009 ASL Single Axle</t>
  </si>
  <si>
    <t>O-1</t>
  </si>
  <si>
    <t>Delivery Trk</t>
  </si>
  <si>
    <t>Cart Delivery Trl (N)</t>
  </si>
  <si>
    <t>WF</t>
  </si>
  <si>
    <t>WF Trl (N)</t>
  </si>
  <si>
    <t>Drive Cams,17,27,28,29</t>
  </si>
  <si>
    <t>Total Regulated Recycling</t>
  </si>
  <si>
    <t>Recycling Equipment  Non-Regulated</t>
  </si>
  <si>
    <t>R</t>
  </si>
  <si>
    <t>Stellar Shuttle - Hook Lift on (2-days a wk)</t>
  </si>
  <si>
    <t>2006 Int'l w/20 yd RL, HTWCAZR76J312556 OCC</t>
  </si>
  <si>
    <t xml:space="preserve">Automated Truck, Labrie Pckr   </t>
  </si>
  <si>
    <t xml:space="preserve">2001 IHC Hooklift (U) </t>
  </si>
  <si>
    <t>Trf Trl</t>
  </si>
  <si>
    <t>1992 53' Transfer Trailer  1 day a week for G</t>
  </si>
  <si>
    <t>matter what day of month put on</t>
  </si>
  <si>
    <t>Drive Cams,5,11,26</t>
  </si>
  <si>
    <t>Non-Regulated Equipment</t>
  </si>
  <si>
    <t>1224 CONTAINERS AND TOTERS:</t>
  </si>
  <si>
    <t>2 Yard</t>
  </si>
  <si>
    <t>1.5 Yard</t>
  </si>
  <si>
    <t>Container (from landfill) CONT</t>
  </si>
  <si>
    <t>2 Yard  w/Lids</t>
  </si>
  <si>
    <t>1.5 Yard  w/Lids</t>
  </si>
  <si>
    <t>1 Yard  w/Lids</t>
  </si>
  <si>
    <t xml:space="preserve">20 - 1.5 Yard </t>
  </si>
  <si>
    <t>Steel containers</t>
  </si>
  <si>
    <t>Container lids</t>
  </si>
  <si>
    <t>Referbish containers</t>
  </si>
  <si>
    <t>Container Modification</t>
  </si>
  <si>
    <t>2 Yard  container (N)</t>
  </si>
  <si>
    <t>1.5 Yard container (N)</t>
  </si>
  <si>
    <t>2 Yard  container (U)</t>
  </si>
  <si>
    <t>Container Repair</t>
  </si>
  <si>
    <t>2 Yard  container  w/lids(N)</t>
  </si>
  <si>
    <t>1.5 Yard  container  w/lids(N)</t>
  </si>
  <si>
    <t>2 Yard  container  w/lids(N)  07-2149-08</t>
  </si>
  <si>
    <t>1.5 Yard  container  w/lids(N) 07-2149-009</t>
  </si>
  <si>
    <t>2 Yard  container  w/lids(N)  07-2149-015</t>
  </si>
  <si>
    <t>1.5 Yard  container  w/lids(N) 07-2149-015</t>
  </si>
  <si>
    <t>1.5 Yard  container  w/lids(N) 08-2149-010</t>
  </si>
  <si>
    <t>2 Yard  container  w/lids(N)  08-2149-11</t>
  </si>
  <si>
    <t>1.5 Yard  container  w/lids(N) 2149-10-0011</t>
  </si>
  <si>
    <t>2 Yard  container  w/lids(N)    2149-10-0012</t>
  </si>
  <si>
    <t>1 Yard  container  w/lids(N)    2149-10-0012</t>
  </si>
  <si>
    <t xml:space="preserve">1.5 Yard  container  (U) LeMay </t>
  </si>
  <si>
    <t>1 Yard  container  w/lids(N)    2149-11-0020</t>
  </si>
  <si>
    <t>2 Yard  container  w/lids(N)    2149-11-0003</t>
  </si>
  <si>
    <t>1.5 Yard  container w/lids(N) 2149-12-0008-1</t>
  </si>
  <si>
    <t>TOTAL CONTAINERS</t>
  </si>
  <si>
    <t>DROP BOXES:</t>
  </si>
  <si>
    <t>20 Yard</t>
  </si>
  <si>
    <t>40yd  (from Lfl)Contract.</t>
  </si>
  <si>
    <t>40 yd (from lfl)Contract</t>
  </si>
  <si>
    <t>40 Yard</t>
  </si>
  <si>
    <t>20 Yard Drop Box</t>
  </si>
  <si>
    <t>40 Yard Drop Box</t>
  </si>
  <si>
    <t>10 Yard Drop Box open top</t>
  </si>
  <si>
    <t>20 Yard Drop Box open top  (5,5)</t>
  </si>
  <si>
    <t>3-Model 12 Drop Box</t>
  </si>
  <si>
    <t>Refurbish 30 yd</t>
  </si>
  <si>
    <t>20 Yard Drop Box w/Lids (Per Rik)</t>
  </si>
  <si>
    <t>Model r-39U Drop Box</t>
  </si>
  <si>
    <t>20 Yard Drop Box open top</t>
  </si>
  <si>
    <t>20 Yard Drop Box w/Lids 06-2149-007</t>
  </si>
  <si>
    <t>20 Yard Drop Box w/Lids 06-2149-008</t>
  </si>
  <si>
    <t>10 Yard Drop Box w/Lids 06-2149-009</t>
  </si>
  <si>
    <t>40 Yard Drop Box w/Lids 06-2149-005</t>
  </si>
  <si>
    <t>10 Yard Hook Lift  w/Lids 06-2149-004</t>
  </si>
  <si>
    <t>20 Yard Drop Box solid top 06-2149-002</t>
  </si>
  <si>
    <t>20 Yard Drop Box sreen top 06-2149-003</t>
  </si>
  <si>
    <t>20 Yard Drop Box open top 06-2149-001</t>
  </si>
  <si>
    <t>40 Yard Drop Box solid top 07-2149-003</t>
  </si>
  <si>
    <t>20 Yard Drop Box open top 07-2149-002</t>
  </si>
  <si>
    <t>20 Yard Drop Box open top 07-2149-001</t>
  </si>
  <si>
    <t>20 Yard Drop Box open top 08-2149-007</t>
  </si>
  <si>
    <t>40 Yard Drop Box solid top 00-2010-009</t>
  </si>
  <si>
    <t>20 Yard Drop Box open top 2149-11-0008</t>
  </si>
  <si>
    <t>20 Yard Drop Box Solid Lid 2149-12-0002-1</t>
  </si>
  <si>
    <t>20 Yard Drop Box Solid Lid (U) 2149-12-0017-1</t>
  </si>
  <si>
    <t>TOTALS DROP BOX/ROLLOFF EQUIP.</t>
  </si>
  <si>
    <t>Automated Carts Garbage</t>
  </si>
  <si>
    <t>35-gal automated carts</t>
  </si>
  <si>
    <t>48-gal automated carts</t>
  </si>
  <si>
    <t>64-gal automated carts</t>
  </si>
  <si>
    <t>96-gal automated carts</t>
  </si>
  <si>
    <t>64-gal automated carts 2149-12-00</t>
  </si>
  <si>
    <t>98-gal automated carts 2149-12-00</t>
  </si>
  <si>
    <t>48-gal automated carts 2149-12-0014-3</t>
  </si>
  <si>
    <t>35-gal automated carts 2149-12-0014-2</t>
  </si>
  <si>
    <t xml:space="preserve">Automated Carts Recycling </t>
  </si>
  <si>
    <t>65-gal automated carts</t>
  </si>
  <si>
    <t>Commercial Recycling Equipment;</t>
  </si>
  <si>
    <t xml:space="preserve">90 Gal Toters </t>
  </si>
  <si>
    <t>90-gal automated carts,96</t>
  </si>
  <si>
    <t>20 Yard Drop Box endl chain</t>
  </si>
  <si>
    <t>20 Yard Drop Box open top 08-2149-009</t>
  </si>
  <si>
    <t>Total Container, DB, Carts</t>
  </si>
  <si>
    <t>Service Equipment:</t>
  </si>
  <si>
    <t>M-1</t>
  </si>
  <si>
    <t>1999 PU Supervisor PU (U)</t>
  </si>
  <si>
    <t>Drive Cam</t>
  </si>
  <si>
    <t>Total Serivce Equipment</t>
  </si>
  <si>
    <t>1240 SHOP &amp; GARAGE EQUIP:</t>
  </si>
  <si>
    <t>Welder</t>
  </si>
  <si>
    <t>Plasma Cutter</t>
  </si>
  <si>
    <t>TruckTech Trailer   (Burch)</t>
  </si>
  <si>
    <t>Air Compressor</t>
  </si>
  <si>
    <t>Equipment</t>
  </si>
  <si>
    <t>Backhoe</t>
  </si>
  <si>
    <t>Lincoln Welder</t>
  </si>
  <si>
    <t xml:space="preserve">Cason Pull Trailer     </t>
  </si>
  <si>
    <t>Shop Trans Jack</t>
  </si>
  <si>
    <t>Spring Tester for Shop</t>
  </si>
  <si>
    <t>Shop Imprvmt door/shelf/rail</t>
  </si>
  <si>
    <t>Laptop for Engine Analysis</t>
  </si>
  <si>
    <t>Prazair Wire Feed Welder</t>
  </si>
  <si>
    <t>Software for Engine Analysis</t>
  </si>
  <si>
    <t>Service</t>
  </si>
  <si>
    <t>S-1</t>
  </si>
  <si>
    <t>Service Truck</t>
  </si>
  <si>
    <t>Praxair Welder, Ingersoll Rand Air Compressor</t>
  </si>
  <si>
    <t>Cummins Engine Test Software</t>
  </si>
  <si>
    <t>Cart Washer</t>
  </si>
  <si>
    <t>Shop Lighting</t>
  </si>
  <si>
    <t>Shop Electronic Marling Board</t>
  </si>
  <si>
    <t>Shop Diagnostic Laptop</t>
  </si>
  <si>
    <t>7.5 HP 80 Gal Air Compressor</t>
  </si>
  <si>
    <t>Tire Torque Tood (N) 2149-12-0013-1</t>
  </si>
  <si>
    <t>Shop Computer RTA Equipment</t>
  </si>
  <si>
    <t>TOTAL SHOP &amp; GARAGE EQUIP</t>
  </si>
  <si>
    <t>1250 OFFICE EQUIP:</t>
  </si>
  <si>
    <t>Furniture</t>
  </si>
  <si>
    <t>Computer Table</t>
  </si>
  <si>
    <t>Computer</t>
  </si>
  <si>
    <t>Micro Wave</t>
  </si>
  <si>
    <t>CS40 Computer</t>
  </si>
  <si>
    <t>Computers</t>
  </si>
  <si>
    <t>Pentium Computer</t>
  </si>
  <si>
    <t>2 Pentuim Computers</t>
  </si>
  <si>
    <t>Office Furniture</t>
  </si>
  <si>
    <t>Computer File Server</t>
  </si>
  <si>
    <t>Phone System</t>
  </si>
  <si>
    <t>Compac Evo D310V</t>
  </si>
  <si>
    <t xml:space="preserve">Laptop &amp; Port Replicator  </t>
  </si>
  <si>
    <t>Digital Imaging Copier</t>
  </si>
  <si>
    <t>Voicemail System Upgrades</t>
  </si>
  <si>
    <t>Computer for DM</t>
  </si>
  <si>
    <t>Panasonic Toughbood</t>
  </si>
  <si>
    <t xml:space="preserve">  </t>
  </si>
  <si>
    <t>Sony Internet TV</t>
  </si>
  <si>
    <t>TOTAL OFFICE EQUIPMENT</t>
  </si>
  <si>
    <t>Building</t>
  </si>
  <si>
    <t>Fence at back of property</t>
  </si>
  <si>
    <t>Door, low head room track, installation</t>
  </si>
  <si>
    <t>Tipping Wall</t>
  </si>
  <si>
    <t>Office Improvement</t>
  </si>
  <si>
    <t>Counter Top for Office Improvement</t>
  </si>
  <si>
    <t>Stormwater Retention</t>
  </si>
  <si>
    <t>Grading, Paving, Fencing, Parking Lot</t>
  </si>
  <si>
    <t>Update Alam for Office, Shop</t>
  </si>
  <si>
    <t>TOTAL STRUCTURES</t>
  </si>
  <si>
    <t>Grand Total</t>
  </si>
  <si>
    <t>FAR #</t>
  </si>
  <si>
    <t>20-gal automated carts &amp; Lids</t>
  </si>
  <si>
    <t>HP Proboko 6460b</t>
  </si>
  <si>
    <t>(2) Drive Cams C-4, 13</t>
  </si>
  <si>
    <t>Work on Bioretention Swale &amp; Filtration</t>
  </si>
  <si>
    <t>Shop Improvement - Paint</t>
  </si>
  <si>
    <t>Landscaping for Storm Water Improve</t>
  </si>
  <si>
    <t>Transferred/Retired in 2012</t>
  </si>
  <si>
    <t>20 Yard RO Lids</t>
  </si>
  <si>
    <t>1.5 Yard Metal Containers</t>
  </si>
  <si>
    <t xml:space="preserve">48-gal automated carts </t>
  </si>
  <si>
    <t>10 Yard RO Boxes</t>
  </si>
  <si>
    <t>1 Yard Metal Containers</t>
  </si>
  <si>
    <t>1965 TYPE HT TANK TRAILER</t>
  </si>
  <si>
    <t>Site</t>
  </si>
  <si>
    <t>Transferred/Retired in 2013</t>
  </si>
  <si>
    <t>DL</t>
  </si>
  <si>
    <t>Wash Pad</t>
  </si>
  <si>
    <t>BUILDING/STRUCTURES/IMPROVEMENTS:</t>
  </si>
  <si>
    <t>Delivery Truck Conversion</t>
  </si>
  <si>
    <t>109513, 110075, 110199</t>
  </si>
  <si>
    <t>95-gal automated carts (Grey)</t>
  </si>
  <si>
    <t>35-gal automated carts (Grey)</t>
  </si>
  <si>
    <t>95-gal automated carts (Green Lid)</t>
  </si>
  <si>
    <t>40 Yard RO Boxes</t>
  </si>
  <si>
    <t>Decals for Recycling Carts</t>
  </si>
  <si>
    <t>Wyse Winterms D10D</t>
  </si>
  <si>
    <t>1.5 Yd REL Container</t>
  </si>
  <si>
    <t>2 Yd REL Containers</t>
  </si>
  <si>
    <t>DEL</t>
  </si>
  <si>
    <t>2005 Int'l 7400 w/20 yd RL,Rad Cont. Del</t>
  </si>
  <si>
    <t>RL</t>
  </si>
  <si>
    <t>2015 REL Int'l Truck (N)</t>
  </si>
  <si>
    <t>RO Box Winch Upgrades</t>
  </si>
  <si>
    <t>Transferred/Retired in 2014</t>
  </si>
  <si>
    <t>Recycle Tip Wall Lighting</t>
  </si>
  <si>
    <t>Fall Protection</t>
  </si>
  <si>
    <t>Pressure Washer</t>
  </si>
  <si>
    <t>Winterms</t>
  </si>
  <si>
    <t>Transferred/Retired in 2015</t>
  </si>
  <si>
    <t>123449/123450</t>
  </si>
  <si>
    <t>24-gal automated carts</t>
  </si>
  <si>
    <t>A/C Recharging Machine</t>
  </si>
  <si>
    <t>123341/124223</t>
  </si>
  <si>
    <t>ASL</t>
  </si>
  <si>
    <t>2016 ASL Peterbilt (N)</t>
  </si>
  <si>
    <t>125549/125904</t>
  </si>
  <si>
    <t>2000 ASL Spare (U)</t>
  </si>
  <si>
    <t>20 Yard Recycle Boxes (Blue Box Program)</t>
  </si>
  <si>
    <t>130993, 131090, 131669, 131670, 132006</t>
  </si>
  <si>
    <t>Transmission Rebuild Trk #7</t>
  </si>
  <si>
    <t>(4) Samsung Tablets</t>
  </si>
  <si>
    <t>(3) Samsung Tablets</t>
  </si>
  <si>
    <t>(14) Samsung Tablets</t>
  </si>
  <si>
    <t>131753 131752</t>
  </si>
  <si>
    <t>131774 131754</t>
  </si>
  <si>
    <t>1 Yd REL Container</t>
  </si>
  <si>
    <t>10 Yard RO Box</t>
  </si>
  <si>
    <t>2007 Forklift (U)</t>
  </si>
  <si>
    <t>(3) Toughsleeves for Tablets</t>
  </si>
  <si>
    <t>(4) Toughsleeves for Tablets</t>
  </si>
  <si>
    <t>(20) Toughsleeves for Tablets</t>
  </si>
  <si>
    <t xml:space="preserve">Panasonic Toughbook </t>
  </si>
  <si>
    <t>21-gal automated carts</t>
  </si>
  <si>
    <t>169619/20</t>
  </si>
  <si>
    <t>Zamboni Tennant Scrubber</t>
  </si>
  <si>
    <t>Software for Diagnostic Laptop</t>
  </si>
  <si>
    <t>Shop Laptop Software</t>
  </si>
  <si>
    <t xml:space="preserve"> Radio System (14)</t>
  </si>
  <si>
    <t xml:space="preserve"> Radio System (4)</t>
  </si>
  <si>
    <t>2006 Walking Floor Trailer (U)</t>
  </si>
  <si>
    <t>Scales for County Blue Box Program</t>
  </si>
  <si>
    <t>2017 Chevy Silverado</t>
  </si>
  <si>
    <t>185585/ 185174</t>
  </si>
  <si>
    <t>Downpayment</t>
  </si>
  <si>
    <t>65 Gallon Green Recycle Carts - Shelton</t>
  </si>
  <si>
    <t>65 Gallon Blue Recycle Carts - Shelton</t>
  </si>
  <si>
    <t>Shelton - Garbage Carts</t>
  </si>
  <si>
    <t>Shelton - Commercial Recycling Carts</t>
  </si>
  <si>
    <t>65 Gallon MSW Carts-Shelton</t>
  </si>
  <si>
    <t>95 Gallon Recycle Carts Green - Shelton</t>
  </si>
  <si>
    <t>95 Gallon MSW Carts - Shelton</t>
  </si>
  <si>
    <t>35 gallon solid waste carts - Shelton</t>
  </si>
  <si>
    <t>Shelton - Yard Debris</t>
  </si>
  <si>
    <t>95 Gallon YW Carts - Shelton</t>
  </si>
  <si>
    <t>Shelton - Commercial Containers</t>
  </si>
  <si>
    <t>40yd lidded roll off containers - Shelton</t>
  </si>
  <si>
    <t>95 Gallon Recycle Carts Blue - Shelton</t>
  </si>
  <si>
    <t>35 Gallon MSW Carts (UTC)</t>
  </si>
  <si>
    <t>Laptop and Docking Station</t>
  </si>
  <si>
    <t>48 Gallon MSW Carts (UTC)</t>
  </si>
  <si>
    <t>96 Gallon MSW Totes (UTC)</t>
  </si>
  <si>
    <t>64 Gallon MSW Totes (UTC)</t>
  </si>
  <si>
    <t>Dark Grey MSW 96 gal Totes with green lids</t>
  </si>
  <si>
    <t>2YD REL Containers</t>
  </si>
  <si>
    <t>1YD REL Containers</t>
  </si>
  <si>
    <t>1.5YD Commercial REL Containers</t>
  </si>
  <si>
    <t>174341/ 56939</t>
  </si>
  <si>
    <t>20 yd roll off box</t>
  </si>
  <si>
    <t>40yd boxes</t>
  </si>
  <si>
    <t>172613/ 171238</t>
  </si>
  <si>
    <t>Final Scale Installation</t>
  </si>
  <si>
    <t>300 gallon solid waste containers - Shelton</t>
  </si>
  <si>
    <t>HP ProBook 640 G2 (Ops Mgr)</t>
  </si>
  <si>
    <t>HP ProBook 640 G2</t>
  </si>
  <si>
    <t>Laptop for MM</t>
  </si>
  <si>
    <t>Dark Gray Recy 96 gal Tote with blue lids</t>
  </si>
  <si>
    <t>M2</t>
  </si>
  <si>
    <t>2017 ASL Truck</t>
  </si>
  <si>
    <t>2018 REL Truck</t>
  </si>
  <si>
    <t>2008 ASL Truck VIN #718428</t>
  </si>
  <si>
    <t>174775 / 174774</t>
  </si>
  <si>
    <t>BodyRebuild</t>
  </si>
  <si>
    <t>174777 / 174774</t>
  </si>
  <si>
    <t>Lincensing for VIN 718428</t>
  </si>
  <si>
    <t>2004 Peterbilt 320 ASL - Shelton</t>
  </si>
  <si>
    <t>2007 Peterbilt 320 ASL- Shelton</t>
  </si>
  <si>
    <t>2014 Peterbilt 320 ASL - Shelton</t>
  </si>
  <si>
    <t>2006 Peterbilt 320 ASL - Shelton</t>
  </si>
  <si>
    <t>2013 Peterbilt 320 ASL - Shelton</t>
  </si>
  <si>
    <t>183138 / 183682</t>
  </si>
  <si>
    <t>TT&amp;L</t>
  </si>
  <si>
    <t>183137 / 183684</t>
  </si>
  <si>
    <t>183136 / 183685</t>
  </si>
  <si>
    <t>183135 / 183683</t>
  </si>
  <si>
    <t>Engine Overhaul Kit for FAS #80334</t>
  </si>
  <si>
    <t>180523 / 80334</t>
  </si>
  <si>
    <t>185431 / 80334</t>
  </si>
  <si>
    <t>In-House Engine overhaul Labor</t>
  </si>
  <si>
    <t>Model 378 Road Tractor</t>
  </si>
  <si>
    <t>174658 / 174656</t>
  </si>
  <si>
    <t>Engine Rebuild - Truck 355 - Final Payment</t>
  </si>
  <si>
    <t>174659 / 174656</t>
  </si>
  <si>
    <t>Engine Rebuild - Truck 355 - Partial Payment</t>
  </si>
  <si>
    <t>174660 / 174656</t>
  </si>
  <si>
    <t>Repairs to Long Haul Truck # 349</t>
  </si>
  <si>
    <t>174661 / 174656</t>
  </si>
  <si>
    <t>Sales Tax on Repairs to Long Haul Truck # 349</t>
  </si>
  <si>
    <t>174662 / 174656</t>
  </si>
  <si>
    <t>174663 / 174656</t>
  </si>
  <si>
    <t>183134 / 183686</t>
  </si>
  <si>
    <t>174776 / 174774</t>
  </si>
  <si>
    <t>2008 Peterbilt ASL</t>
  </si>
  <si>
    <t>Transferred/Retired in 2017</t>
  </si>
  <si>
    <t>Shelton - Recycling Carts - Residential</t>
  </si>
  <si>
    <t>Service Truck Crane Installation (includes Crante)</t>
  </si>
  <si>
    <t>P</t>
  </si>
  <si>
    <t>International 7400</t>
  </si>
  <si>
    <t>Heil</t>
  </si>
  <si>
    <t>Salvage Value Calculations</t>
  </si>
  <si>
    <t>Adjustment to</t>
  </si>
  <si>
    <t>Amort of</t>
  </si>
  <si>
    <t>Total Depreciation</t>
  </si>
  <si>
    <t>Avg. Investment</t>
  </si>
  <si>
    <t>Adjusted Avg.</t>
  </si>
  <si>
    <t>Salvage Value</t>
  </si>
  <si>
    <t>For Test Period</t>
  </si>
  <si>
    <t>Fully Depr Assets</t>
  </si>
  <si>
    <t>Assets w/ Depr Life</t>
  </si>
  <si>
    <t>Fully Depreciated 2016</t>
  </si>
  <si>
    <t>Fully Depreciated 2017</t>
  </si>
  <si>
    <t>Potential excluded</t>
  </si>
  <si>
    <t>Shelton Trucks</t>
  </si>
  <si>
    <t>Trks Shelton</t>
  </si>
  <si>
    <t>183283/185859/188168</t>
  </si>
  <si>
    <t>Year/Mo</t>
  </si>
  <si>
    <t>Fully Depr</t>
  </si>
  <si>
    <t>Annual</t>
  </si>
  <si>
    <t>First Year</t>
  </si>
  <si>
    <t>48gal MSW Carts</t>
  </si>
  <si>
    <t>95gal MSW Carts</t>
  </si>
  <si>
    <t>64gal MSW Carts</t>
  </si>
  <si>
    <t>96gal MSW Carts</t>
  </si>
  <si>
    <t>96 Gallon Garbage Carts</t>
  </si>
  <si>
    <t>64 Gallon Garbage Carts</t>
  </si>
  <si>
    <t>35 Gallon Garbage Carts</t>
  </si>
  <si>
    <t>96 Gallon Recycle Carts</t>
  </si>
  <si>
    <t>96gal Recycle Carts</t>
  </si>
  <si>
    <t>95gal Recycle Carts</t>
  </si>
  <si>
    <t>64gal Recycle Carts</t>
  </si>
  <si>
    <t>2 Yard REL Containers</t>
  </si>
  <si>
    <t>2 YD Container</t>
  </si>
  <si>
    <t>2yd Metal REL Containers</t>
  </si>
  <si>
    <t>1.5yd Metal REL Containers</t>
  </si>
  <si>
    <t>MSW 300 Gallon Tubs</t>
  </si>
  <si>
    <t>MSW 300gal Tubs</t>
  </si>
  <si>
    <t>96 Gallon Yard Waste Carts</t>
  </si>
  <si>
    <t>Drivecam</t>
  </si>
  <si>
    <t>Licensing</t>
  </si>
  <si>
    <t>2019 ASL Truck</t>
  </si>
  <si>
    <t>40 Yard Rolloff Boxes</t>
  </si>
  <si>
    <t>30 Yard Rolloff Box</t>
  </si>
  <si>
    <t>20yd Rolloff Box</t>
  </si>
  <si>
    <t>20yd Rolloff Boxes</t>
  </si>
  <si>
    <t>40yd Rolloff Box</t>
  </si>
  <si>
    <t>Fire Alarm System for Office Building</t>
  </si>
  <si>
    <t>Kitchen/Conference Room/Bathroom addition</t>
  </si>
  <si>
    <t>Tip Wall Improvement</t>
  </si>
  <si>
    <t>1996 Type M Curb</t>
  </si>
  <si>
    <t>2000 Type HT W-F Trailer</t>
  </si>
  <si>
    <t>Used 2011 Scissor Lift</t>
  </si>
  <si>
    <t>Amort of SV - 2005 Int'l 7400 w/20 yd RL,Rad Cont. Del</t>
  </si>
  <si>
    <t>Amort of SV - Container Delivery 1GTHK23113F156563</t>
  </si>
  <si>
    <t>Amort of SV - 8 Cameras 2,6,8,12,15,19,2,3</t>
  </si>
  <si>
    <t xml:space="preserve">Amort of SV - 1999 Ptrblt 24yd Autom (U) A43431D </t>
  </si>
  <si>
    <t>Amort of SV - 2009 Int'l w 20yd Heil Pckr 09-0036 (N)</t>
  </si>
  <si>
    <t>Amort of SV - 2009 Int'l w 20yd Heil Pckr 09-0038 (N)</t>
  </si>
  <si>
    <t>Amort of SV - 2009 Int'l w 20yd Heil Pckr 09-0040 (N)</t>
  </si>
  <si>
    <t>Amort of SV - 2009 Int'l w 20yd Heil Pckr 09-0035 (N)</t>
  </si>
  <si>
    <t>Amort of SV - Drive Cams,3,4,10,16,23,31,32,33,34,35,36,</t>
  </si>
  <si>
    <t>Amort of SV - (2) Drive Cams C-4, 13</t>
  </si>
  <si>
    <t>Amort of SV - 2003 Peterbuilt 378 RO Trk</t>
  </si>
  <si>
    <t>Amort of SV - 2006 Peterbuilt, Cascon Chain Drive  100%</t>
  </si>
  <si>
    <t xml:space="preserve">Amort of SV - Volvo (U) </t>
  </si>
  <si>
    <t>Amort of SV - 2010 Peterbuilt  w/Roll-Off Boom Hoist (N)</t>
  </si>
  <si>
    <t>Amort of SV - Drive Cams,7,24,25</t>
  </si>
  <si>
    <t>Amort of SV - 2000 Peterbuilt, Drop Axle Trctr (U) TF</t>
  </si>
  <si>
    <t>Amort of SV - 2009 ASL Tnd Axle</t>
  </si>
  <si>
    <t>Amort of SV - 2009 ASL Single Axle</t>
  </si>
  <si>
    <t>Amort of SV - Delivery Trk</t>
  </si>
  <si>
    <t>Amort of SV - Cart Delivery Trl (N)</t>
  </si>
  <si>
    <t>Amort of SV - WF Trl (N)</t>
  </si>
  <si>
    <t>Amort of SV - Drive Cams,17,27,28,29</t>
  </si>
  <si>
    <t>Amort of SV - Drive Cams</t>
  </si>
  <si>
    <t>Amort of SV - Stellar Shuttle - Hook Lift on (2-days a wk)</t>
  </si>
  <si>
    <t xml:space="preserve">Amort of SV - Automated Truck, Labrie Pckr   </t>
  </si>
  <si>
    <t xml:space="preserve">Amort of SV - 2001 IHC Hooklift (U) </t>
  </si>
  <si>
    <t>Amort of SV - 1992 53' Transfer Trailer  1 day a week for G</t>
  </si>
  <si>
    <t>Amort of SV - Drive Cams,5,11,26</t>
  </si>
  <si>
    <t>Transferred/Retired in 2018</t>
  </si>
  <si>
    <t>Other:</t>
  </si>
  <si>
    <t>Trucks:</t>
  </si>
  <si>
    <t>Total Other</t>
  </si>
  <si>
    <t>Amort of SV - Drive Cam</t>
  </si>
  <si>
    <t>Amort of SV - Service Truck</t>
  </si>
  <si>
    <t>Amort of SV - 1965 TYPE HT TANK TRAILER</t>
  </si>
  <si>
    <t>48 Gal MSW Totes</t>
  </si>
  <si>
    <t>64 Gal MSW Totes</t>
  </si>
  <si>
    <t>96 Gal MSW Totes</t>
  </si>
  <si>
    <t>48 gal, 65 gal, 95 gal Totes</t>
  </si>
  <si>
    <t>48 gal MSW Carts</t>
  </si>
  <si>
    <t>64 Gal MSW Carts</t>
  </si>
  <si>
    <t>96 Gal Recycle Carts</t>
  </si>
  <si>
    <t>2yd Metal Containers</t>
  </si>
  <si>
    <t>1.5yd Metal Containers</t>
  </si>
  <si>
    <t>DM Pickup Truck - Dodge Ram 1500</t>
  </si>
  <si>
    <t>22 Ft Storage Unit</t>
  </si>
  <si>
    <t>225230/ 225949</t>
  </si>
  <si>
    <t>2020 Peterbilt ASL Truck</t>
  </si>
  <si>
    <t>219750/ 222159</t>
  </si>
  <si>
    <t>2019 Peterbilt ASL</t>
  </si>
  <si>
    <t>40 yd RO Containers</t>
  </si>
  <si>
    <t>22 Yd RO Containers</t>
  </si>
  <si>
    <t>20 Yd RO Containers</t>
  </si>
  <si>
    <t>10 Yd RO Containers</t>
  </si>
  <si>
    <t>40 Yd Metal Containers</t>
  </si>
  <si>
    <t>20 Yd Metal Containers</t>
  </si>
  <si>
    <t>40 Yd RO Boxes</t>
  </si>
  <si>
    <t>20 Yd RO Boxes</t>
  </si>
  <si>
    <t>64 gal MSW Carts</t>
  </si>
  <si>
    <t>300 Gal MSW Containers</t>
  </si>
  <si>
    <t>64 Gal Recycle Carts</t>
  </si>
  <si>
    <t>1990 Type S Scoode Other</t>
  </si>
  <si>
    <t>2020 Peterbilt REL Truck</t>
  </si>
  <si>
    <t>2 Yd REL Metal Containers</t>
  </si>
  <si>
    <t>96 gal MSW Carts</t>
  </si>
  <si>
    <t>Transferred/Retired in 2020</t>
  </si>
  <si>
    <t>2009 Type H Drop R/O Unit 4068</t>
  </si>
  <si>
    <t>24077/240081</t>
  </si>
  <si>
    <t>Cap Repair - Engine</t>
  </si>
  <si>
    <t>24077/240080</t>
  </si>
  <si>
    <t>Truck 4068 Engine Replcement</t>
  </si>
  <si>
    <t>24077/240079</t>
  </si>
  <si>
    <t>Install AA Welding Auto Tarper</t>
  </si>
  <si>
    <t>Autogreaser</t>
  </si>
  <si>
    <t>(35) SF300 DriveCam Event Recorders</t>
  </si>
  <si>
    <t>236165/239453</t>
  </si>
  <si>
    <t>Radio</t>
  </si>
  <si>
    <t>65 Gal MSW Carts</t>
  </si>
  <si>
    <t>95 Gal MSW Carts</t>
  </si>
  <si>
    <t>95 Gal Recycle Carts</t>
  </si>
  <si>
    <t>30 Yd R/O Containers</t>
  </si>
  <si>
    <t>10 Yd R/O Containers</t>
  </si>
  <si>
    <t>20 Yd R/O Containers</t>
  </si>
  <si>
    <t>1.5 Yd Commercial Containers</t>
  </si>
  <si>
    <t>1 Yd Containers</t>
  </si>
  <si>
    <t>Shared Garbage Carts</t>
  </si>
  <si>
    <t>Shared Recycle Carts</t>
  </si>
  <si>
    <t>Land Improvement - Storage Yard</t>
  </si>
  <si>
    <t>240077/240078</t>
  </si>
  <si>
    <t>Amort of SV - 2009 Type H Drop R/O Unit 4068</t>
  </si>
  <si>
    <t>Tractor</t>
  </si>
  <si>
    <t>Total Tractor</t>
  </si>
  <si>
    <t>Truck #</t>
  </si>
  <si>
    <t>Description</t>
  </si>
  <si>
    <t>Asset #</t>
  </si>
  <si>
    <t>Delivery</t>
  </si>
  <si>
    <t>O1</t>
  </si>
  <si>
    <t>3D7KU28C84G237527</t>
  </si>
  <si>
    <t>1GTHK23113F156563</t>
  </si>
  <si>
    <t>S1</t>
  </si>
  <si>
    <t>1FDWF37R58ED24893</t>
  </si>
  <si>
    <t>1HTWCAZR55J054374</t>
  </si>
  <si>
    <t>1HTSCABK9TH272639</t>
  </si>
  <si>
    <t>3BPZL70X8HF174660</t>
  </si>
  <si>
    <t>3BPZL00X68F718113</t>
  </si>
  <si>
    <t>3BPZL00X88F718114</t>
  </si>
  <si>
    <t>3BPZLJ0X1GF100329</t>
  </si>
  <si>
    <t>3BPZL00X98F718428</t>
  </si>
  <si>
    <t>1XPFPB9X4YD516351</t>
  </si>
  <si>
    <t>1XPFDB9XXYD517349</t>
  </si>
  <si>
    <t>3BPZL00X19F719770</t>
  </si>
  <si>
    <t>3BPZL00X99F719712</t>
  </si>
  <si>
    <t>3ALHCYCY3FDGJ8222</t>
  </si>
  <si>
    <t>1HTWCAAN59J126608</t>
  </si>
  <si>
    <t>1HTWCAAN77J472690</t>
  </si>
  <si>
    <t>1NPTL40X8AD107583</t>
  </si>
  <si>
    <t>3BPDL70X8KF103959</t>
  </si>
  <si>
    <t>3BPDL70X4KF103960</t>
  </si>
  <si>
    <t>3BPZL70X8EF226056</t>
  </si>
  <si>
    <t>3BPZL70X2DF192856</t>
  </si>
  <si>
    <t>3BPDL70X1KF106279</t>
  </si>
  <si>
    <t>3BPDLK0X0LF107315</t>
  </si>
  <si>
    <t>3BPDLK0X6LF108419</t>
  </si>
  <si>
    <t>3BPDLK0X6MF110110</t>
  </si>
  <si>
    <t>139AP2427M1131005</t>
  </si>
  <si>
    <t>1C9RS2224XR337005</t>
  </si>
  <si>
    <t>4JUBD14269N032541</t>
  </si>
  <si>
    <t>1S8AL4829A0012086</t>
  </si>
  <si>
    <t>FRV759601</t>
  </si>
  <si>
    <t>5RESZ03876S062031</t>
  </si>
  <si>
    <t>2K9WF1Z43YH035098</t>
  </si>
  <si>
    <t>2K9WF1Z40YH035057</t>
  </si>
  <si>
    <t>N/A</t>
  </si>
  <si>
    <t>N005V02874E</t>
  </si>
  <si>
    <t>Forklift</t>
  </si>
  <si>
    <t>JJG0243499</t>
  </si>
  <si>
    <t>Delivery Trucks</t>
  </si>
  <si>
    <t>GARBAGE - ASL (Shared)</t>
  </si>
  <si>
    <t>Regulated Commerical REL Garbage</t>
  </si>
  <si>
    <t>Garbage ASL</t>
  </si>
  <si>
    <t xml:space="preserve">Garbage REL </t>
  </si>
  <si>
    <t>Commercial Recycling Equipment  Non-Regulated</t>
  </si>
  <si>
    <t>Total Delivery</t>
  </si>
  <si>
    <t>Non-Reg Commercial Recycling</t>
  </si>
  <si>
    <t>2007 Peterbilt 320 ASL</t>
  </si>
  <si>
    <t>Garbage ASL -Shared</t>
  </si>
  <si>
    <t>Regulated REL Comm MSW</t>
  </si>
  <si>
    <t>Curbside Recycling - Reg</t>
  </si>
  <si>
    <t>Commercial Recycling</t>
  </si>
  <si>
    <t>Amort of SV -Automated Truck, Labrie Pckr 100%</t>
  </si>
  <si>
    <t>Amort of SV -2008 ASL Truck VIN #718428</t>
  </si>
  <si>
    <t>Amort of SV - 2007 Int'l w/25 yd RL, HTWGAZR97J46127</t>
  </si>
  <si>
    <t>Amort of SV - Backhoe</t>
  </si>
  <si>
    <t>Amort of SV - Prazair Wire Feed Welder</t>
  </si>
  <si>
    <t>Amort of SV - Praxair Welder, Ingersoll Rand Air Compressor</t>
  </si>
  <si>
    <t>2021 Peterbilt ASL Truck</t>
  </si>
  <si>
    <t>Automated Carts Garbage (Pre-Shelton Contract)</t>
  </si>
  <si>
    <t>Carts - Garbage (Pre Shelton)</t>
  </si>
  <si>
    <t>CONTAINERS</t>
  </si>
  <si>
    <t>Total Garbage Carts (Pre Shelton)</t>
  </si>
  <si>
    <t>Total Recycling Carts (Pre Shelton)</t>
  </si>
  <si>
    <t>Total Shared Garbage Carts</t>
  </si>
  <si>
    <t>Total Shared Recycle Carts</t>
  </si>
  <si>
    <t>Total Commercial Recycling Carts/Containers</t>
  </si>
  <si>
    <t>Total Shelton Recycling Carts</t>
  </si>
  <si>
    <t>Total Shelton Garbage Carts</t>
  </si>
  <si>
    <t>Total Shelton Containers</t>
  </si>
  <si>
    <t>SHOP &amp; GARAGE EQUIP:</t>
  </si>
  <si>
    <t>OFFICE EQUIP:</t>
  </si>
  <si>
    <t>GRAND TOTAL ASSETS</t>
  </si>
  <si>
    <t>New Asset Adds from FAR (1.1.2021 and Beyond)</t>
  </si>
  <si>
    <t>+</t>
  </si>
  <si>
    <t>=</t>
  </si>
  <si>
    <t>Combined Summary - This Section to Proforma</t>
  </si>
  <si>
    <t>NO</t>
  </si>
  <si>
    <t>A</t>
  </si>
  <si>
    <t>Internal</t>
  </si>
  <si>
    <t>Mason County</t>
  </si>
  <si>
    <t>Mason County - Goodwill</t>
  </si>
  <si>
    <t>Mason County - Opening Entry</t>
  </si>
  <si>
    <t>Mason County - M Johnson Salary</t>
  </si>
  <si>
    <t>Mason County - Non Compete</t>
  </si>
  <si>
    <t>CASCON</t>
  </si>
  <si>
    <t>International</t>
  </si>
  <si>
    <t>Recycle Trailer</t>
  </si>
  <si>
    <t>Burch</t>
  </si>
  <si>
    <t>1991 Burch Trailer</t>
  </si>
  <si>
    <t>1.5 Yard REL Containers</t>
  </si>
  <si>
    <t>2 YD FEL/REL/SL Metal</t>
  </si>
  <si>
    <t>20 YD RO Box</t>
  </si>
  <si>
    <t>40 YD Roll Off Containers</t>
  </si>
  <si>
    <t>Asset Valuation Adjustment Mason County</t>
  </si>
  <si>
    <t>Bad Debt Reserve - Mason County</t>
  </si>
  <si>
    <t>01-2149-004</t>
  </si>
  <si>
    <t>2 YD Containers</t>
  </si>
  <si>
    <t>Non-Rolling Stock</t>
  </si>
  <si>
    <t>Fleet Upgrades</t>
  </si>
  <si>
    <t>Cascon</t>
  </si>
  <si>
    <t>CASON</t>
  </si>
  <si>
    <t>1999 Cascon Trailor (Roll Off)</t>
  </si>
  <si>
    <t>Deferred Acquisition Costs</t>
  </si>
  <si>
    <t>02-2149-004</t>
  </si>
  <si>
    <t>20 Yd Containers w/ Lids</t>
  </si>
  <si>
    <t>Deferred Tax Adjustment</t>
  </si>
  <si>
    <t>Michael Johnson Payment</t>
  </si>
  <si>
    <t>02-2149-002</t>
  </si>
  <si>
    <t>Prep &amp; Paint 30 Containers</t>
  </si>
  <si>
    <t>Final True Up - Mason County</t>
  </si>
  <si>
    <t>Wasteline Containers</t>
  </si>
  <si>
    <t>20 Yd Open Top Containers</t>
  </si>
  <si>
    <t>Container Parts</t>
  </si>
  <si>
    <t>Capital Industries</t>
  </si>
  <si>
    <t>Container Lids</t>
  </si>
  <si>
    <t>Commercial Brake &amp; Clutch</t>
  </si>
  <si>
    <t>Paint for Containers</t>
  </si>
  <si>
    <t>Resarcio</t>
  </si>
  <si>
    <t>Welding, Prep Containers for Painting</t>
  </si>
  <si>
    <t>LT Contract</t>
  </si>
  <si>
    <t>Rescario</t>
  </si>
  <si>
    <t>Wleding on Containers</t>
  </si>
  <si>
    <t>Model R-12 Roll Off Containers</t>
  </si>
  <si>
    <t>Lids and Swivel Casters</t>
  </si>
  <si>
    <t>WCRL-2 Rear Load Containers w/ Wheels &amp; Casters</t>
  </si>
  <si>
    <t>Quest</t>
  </si>
  <si>
    <t>7P33LLC6B01V</t>
  </si>
  <si>
    <t>Compaq EVO D310V Microtower</t>
  </si>
  <si>
    <t>03-2149-003</t>
  </si>
  <si>
    <t>20 Yard Roll Off Boxes</t>
  </si>
  <si>
    <t>03-2149-007</t>
  </si>
  <si>
    <t>2 Yard Rear Load Containers</t>
  </si>
  <si>
    <t>1.5 Yard Rear Load Containers</t>
  </si>
  <si>
    <t>03-2149-008</t>
  </si>
  <si>
    <t>ADT Security</t>
  </si>
  <si>
    <t>Office &amp; Shop Alarm</t>
  </si>
  <si>
    <t>Other</t>
  </si>
  <si>
    <t>OTHER</t>
  </si>
  <si>
    <t>Peterbilt 378</t>
  </si>
  <si>
    <t>1NPFLB0XX3D807254</t>
  </si>
  <si>
    <t>2003 Peterbilt 378 Roll Off Truck</t>
  </si>
  <si>
    <t>Northwest Steel &amp; Pipe, I</t>
  </si>
  <si>
    <t>Wasteline Containers Ltd.</t>
  </si>
  <si>
    <t>Model R-39U Roll Off Containers c/w Bale Hook</t>
  </si>
  <si>
    <t>Cascon transportation Equ</t>
  </si>
  <si>
    <t>2 YD RL Container Replacement Bottoms</t>
  </si>
  <si>
    <t>S110482</t>
  </si>
  <si>
    <t>Remote Speaker, Antenna Wiring &amp; Labor to Install</t>
  </si>
  <si>
    <t>PRT</t>
  </si>
  <si>
    <t>Container Repairs - 6x2 Caster MOR Swivel; Hinge</t>
  </si>
  <si>
    <t>04-2149-007</t>
  </si>
  <si>
    <t>Capital Industries, inc.</t>
  </si>
  <si>
    <t>2 YD Rearload Containers w/ Plastic Lids</t>
  </si>
  <si>
    <t>L. G. Isaacson Co., Inc.</t>
  </si>
  <si>
    <t>Z Wall Repair - Teflon Hose; Aeroquip</t>
  </si>
  <si>
    <t>Gateway Rental Center, In</t>
  </si>
  <si>
    <t>Miles Sand and Gravel Com</t>
  </si>
  <si>
    <t>128 ea. Ecol 2x2x2</t>
  </si>
  <si>
    <t>Truck &amp; Trailer Rental for Z Wall Repair</t>
  </si>
  <si>
    <t>CNU4120L80</t>
  </si>
  <si>
    <t>Laptop &amp; Port Replicator for Julie Marillo</t>
  </si>
  <si>
    <t>03-2051-038</t>
  </si>
  <si>
    <t>CB Toyota-Lift</t>
  </si>
  <si>
    <t>Toyota Forklift Engine Replacement</t>
  </si>
  <si>
    <t>FL1</t>
  </si>
  <si>
    <t>CRC</t>
  </si>
  <si>
    <t>Toyota</t>
  </si>
  <si>
    <t>SN60864</t>
  </si>
  <si>
    <t>Toyota Forklift 6000#</t>
  </si>
  <si>
    <t>04-2149-002</t>
  </si>
  <si>
    <t>4F1019078</t>
  </si>
  <si>
    <t>F400 20 YD Body on 2005 7400 Rear Load Truck</t>
  </si>
  <si>
    <t>Container Delivery Truck</t>
  </si>
  <si>
    <t>Capital Industrial</t>
  </si>
  <si>
    <t>2005 International 7400 Flat bed</t>
  </si>
  <si>
    <t>Sales Tax on 2005 International Rear Load</t>
  </si>
  <si>
    <t>Backhoe 580L 4x4 for Z Wall Buiild</t>
  </si>
  <si>
    <t>RemainingSales Tax on 2005 International Rear Load</t>
  </si>
  <si>
    <t>F.A. Hughes Construction</t>
  </si>
  <si>
    <t>Excavator Rentalf for Rebuild of Z-Wall</t>
  </si>
  <si>
    <t>WV-21-4</t>
  </si>
  <si>
    <t>99-2051-0007</t>
  </si>
  <si>
    <t>Toyota Lift</t>
  </si>
  <si>
    <t>SYS# 4564</t>
  </si>
  <si>
    <t>Enterprise Sales, Inc</t>
  </si>
  <si>
    <t>20 YD Drop Box, Endless Chain Style Containers</t>
  </si>
  <si>
    <t>(1) Kenwood TK880 Radio for 2005 Int'l REL Truck</t>
  </si>
  <si>
    <t>Container Repair - Internal Labor - July</t>
  </si>
  <si>
    <t>Container Repair - Internal Labor - August</t>
  </si>
  <si>
    <t>Container Repair - Internal Labor - June</t>
  </si>
  <si>
    <t>Container Repair - Internal Labor - May</t>
  </si>
  <si>
    <t>Container Repair - Internal Labor - September</t>
  </si>
  <si>
    <t>B2</t>
  </si>
  <si>
    <t>Case</t>
  </si>
  <si>
    <t>CASE</t>
  </si>
  <si>
    <t>Used 1999 Case 580 L II Backhoe</t>
  </si>
  <si>
    <t>Richard P. Fredrickson</t>
  </si>
  <si>
    <t>Used 1999 Case 580 L II Backhoe-Down Payment</t>
  </si>
  <si>
    <t>Capital Industries, Inc.</t>
  </si>
  <si>
    <t>2 Yard R/L Containers w/ Lids &amp; Casters</t>
  </si>
  <si>
    <t>Southgate Fence, Inc.</t>
  </si>
  <si>
    <t>381'X6' Chain Link Fence Installed</t>
  </si>
  <si>
    <t>06-2149-404</t>
  </si>
  <si>
    <t>CAPITAL INDUSTRIAL INC</t>
  </si>
  <si>
    <t>20 yard open top drop box, blue</t>
  </si>
  <si>
    <t>CAPITAL INDUSTRIES, INC.</t>
  </si>
  <si>
    <t>20YD Roll Off</t>
  </si>
  <si>
    <t>06-2149-010</t>
  </si>
  <si>
    <t>2 yard containers</t>
  </si>
  <si>
    <t>06-2149-011</t>
  </si>
  <si>
    <t>1.5 yard rear load containers</t>
  </si>
  <si>
    <t>06-2149-009</t>
  </si>
  <si>
    <t>ENTERPRISE SALES, INC.</t>
  </si>
  <si>
    <t>10 YARD BOX</t>
  </si>
  <si>
    <t>06-2149-005</t>
  </si>
  <si>
    <t>40 YARD BOXES</t>
  </si>
  <si>
    <t>06-2149-006</t>
  </si>
  <si>
    <t>20 YARD BOXES</t>
  </si>
  <si>
    <t>06-2149-007</t>
  </si>
  <si>
    <t>20 yard boxes</t>
  </si>
  <si>
    <t>06-2149-008</t>
  </si>
  <si>
    <t>20 Yard boxes</t>
  </si>
  <si>
    <t>06-2149-014</t>
  </si>
  <si>
    <t>1NPFLB0X77D675706</t>
  </si>
  <si>
    <t>2007 Peterbilt 378 Chassis</t>
  </si>
  <si>
    <t>06-2149-001</t>
  </si>
  <si>
    <t>20 Yard Boxes</t>
  </si>
  <si>
    <t>06-2149-003</t>
  </si>
  <si>
    <t>20 yard drop box</t>
  </si>
  <si>
    <t>06-2149-405</t>
  </si>
  <si>
    <t>2 YD RL</t>
  </si>
  <si>
    <t>06-2149-012</t>
  </si>
  <si>
    <t>20 yard</t>
  </si>
  <si>
    <t>RO Vin#575706</t>
  </si>
  <si>
    <t>06-2149-409</t>
  </si>
  <si>
    <t>Voice Mail system</t>
  </si>
  <si>
    <t>06-2149-408</t>
  </si>
  <si>
    <t>06-2149-002</t>
  </si>
  <si>
    <t>20 yard box</t>
  </si>
  <si>
    <t>07-2149-005</t>
  </si>
  <si>
    <t>GMC Sierra</t>
  </si>
  <si>
    <t>2003 GMC Pickup</t>
  </si>
  <si>
    <t>07-2149-001</t>
  </si>
  <si>
    <t>20 Yard Open Tops</t>
  </si>
  <si>
    <t>07-2149-002</t>
  </si>
  <si>
    <t>20 Yard Solid Lids</t>
  </si>
  <si>
    <t>07-2149-003</t>
  </si>
  <si>
    <t>40 Yard Dropbox Solid Lids</t>
  </si>
  <si>
    <t>07-2149-008</t>
  </si>
  <si>
    <t>2 Yard Rear Load containers</t>
  </si>
  <si>
    <t>07-2149-009</t>
  </si>
  <si>
    <t>1.5 Yard Rear Load</t>
  </si>
  <si>
    <t>07-2149-413</t>
  </si>
  <si>
    <t>Laptop</t>
  </si>
  <si>
    <t>01-1010-010</t>
  </si>
  <si>
    <t>UNK2088</t>
  </si>
  <si>
    <t>Router for Mason County</t>
  </si>
  <si>
    <t>07-2149-011</t>
  </si>
  <si>
    <t>TOTER INCORPORATED</t>
  </si>
  <si>
    <t>48 Gallon Gray Carts</t>
  </si>
  <si>
    <t>WESTERN SYSTEMS &amp; FABRICA</t>
  </si>
  <si>
    <t>35 Gallon Gray carts</t>
  </si>
  <si>
    <t>07-2120-003</t>
  </si>
  <si>
    <t>1HTWGAZZR97J461427</t>
  </si>
  <si>
    <t>2007 REL Truck - VIN#461427</t>
  </si>
  <si>
    <t>Sales Tax on new Rear Load Truck - VIN#461427</t>
  </si>
  <si>
    <t>64 GA Carts</t>
  </si>
  <si>
    <t>07-2149-412</t>
  </si>
  <si>
    <t>Labrie</t>
  </si>
  <si>
    <t>Peterbilt 320</t>
  </si>
  <si>
    <t>2008 ASL Truck VIN# 718114</t>
  </si>
  <si>
    <t>07-2149-012</t>
  </si>
  <si>
    <t>2008 ASL Truck VIN# 718113</t>
  </si>
  <si>
    <t>SF071081SA</t>
  </si>
  <si>
    <t>LABRIE BODY SERIAL NUMBER SF7108ISA</t>
  </si>
  <si>
    <t>07-2149-414</t>
  </si>
  <si>
    <t>WESTERN PETERBILT, INC</t>
  </si>
  <si>
    <t>Engine Anaysis Software</t>
  </si>
  <si>
    <t>07-2149-015</t>
  </si>
  <si>
    <t>2YD REL Containers-Enterprise Sales</t>
  </si>
  <si>
    <t>2149-8-0022-1</t>
  </si>
  <si>
    <t>96 GAL Toters</t>
  </si>
  <si>
    <t>2149-8-0007-1</t>
  </si>
  <si>
    <t>20 Yard Containers</t>
  </si>
  <si>
    <t>SF07108INS</t>
  </si>
  <si>
    <t>2007 Peterbuilt Garbage Truck Vin#718113</t>
  </si>
  <si>
    <t>07-2149-004</t>
  </si>
  <si>
    <t>Miller Mattic MIL 907324</t>
  </si>
  <si>
    <t>2149-8-0019-1</t>
  </si>
  <si>
    <t>Flatbed Truck</t>
  </si>
  <si>
    <t>Service Body</t>
  </si>
  <si>
    <t>FORD F-350</t>
  </si>
  <si>
    <t>2008 Ford F-350 Service Truck</t>
  </si>
  <si>
    <t>2149-8-0024-1</t>
  </si>
  <si>
    <t>OLYMPIA OVERHEAD DOOR</t>
  </si>
  <si>
    <t>New Shop Overhead 12'2 X 12'6 Door</t>
  </si>
  <si>
    <t>2149-8-0009-1</t>
  </si>
  <si>
    <t>20 YD Recycle Box</t>
  </si>
  <si>
    <t>2149-8-0013-1</t>
  </si>
  <si>
    <t>48 gal AutomatedTotes</t>
  </si>
  <si>
    <t>(100) 96gal Automated Totes</t>
  </si>
  <si>
    <t>Freight Only for Carts</t>
  </si>
  <si>
    <t>W1LL BE DETERM1NED</t>
  </si>
  <si>
    <t>Service Truck #S1 Body Vin#D24893</t>
  </si>
  <si>
    <t>Cab Guard and Light Mounts for #S1</t>
  </si>
  <si>
    <t>64 gallon Carts - 100 Solid Waste &amp; 100 Curbside</t>
  </si>
  <si>
    <t>SCHAEFER SYSTEMS INTERNAT</t>
  </si>
  <si>
    <t>35 Gallon Bar Carts</t>
  </si>
  <si>
    <t>2149-8-0025-1</t>
  </si>
  <si>
    <t>95 Gallon Commercial Recycle Containers</t>
  </si>
  <si>
    <t>2149-8-0010-1</t>
  </si>
  <si>
    <t>1.5YD Containers</t>
  </si>
  <si>
    <t>2149-8-0011-1</t>
  </si>
  <si>
    <t>2 YD Rear Load Containers</t>
  </si>
  <si>
    <t>2149-8-0027-1</t>
  </si>
  <si>
    <t>Concrete &amp; Top Pads - Correct Asset Assignment</t>
  </si>
  <si>
    <t>2149-9-0001-1</t>
  </si>
  <si>
    <t>Empire Office Equipment</t>
  </si>
  <si>
    <t>Office Printer</t>
  </si>
  <si>
    <t>LeMay Enterprises</t>
  </si>
  <si>
    <t>40 Yard Compactor</t>
  </si>
  <si>
    <t>20 Yard Compactors</t>
  </si>
  <si>
    <t>McNeilus</t>
  </si>
  <si>
    <t>2149-9-0008-1</t>
  </si>
  <si>
    <t>Upgrades for 2008 F350 Service Truck</t>
  </si>
  <si>
    <t>2149-9-0029-1</t>
  </si>
  <si>
    <t>Dodge RAM 2500</t>
  </si>
  <si>
    <t>2004 Dodge 2500</t>
  </si>
  <si>
    <t>2149-9-0030-1</t>
  </si>
  <si>
    <t>Trailer</t>
  </si>
  <si>
    <t>J&amp;J Trailer / C&amp;B</t>
  </si>
  <si>
    <t>New 14 - 2009 C&amp;B Dump w/ Ramps</t>
  </si>
  <si>
    <t>2149-9-0025-1</t>
  </si>
  <si>
    <t>96 Gallon Comingle Carts</t>
  </si>
  <si>
    <t>96 Gal Comingle Carts</t>
  </si>
  <si>
    <t>96 Gallon Comingle CartS</t>
  </si>
  <si>
    <t>Cart Decals - 96 Gallon Carts</t>
  </si>
  <si>
    <t>2149-9-0014-1</t>
  </si>
  <si>
    <t>New 2009 Automated Residential</t>
  </si>
  <si>
    <t>2149-9-0016-1</t>
  </si>
  <si>
    <t>1010-9-0016-1</t>
  </si>
  <si>
    <t>Truck # 27 Alingment</t>
  </si>
  <si>
    <t>1010-9-0014-1</t>
  </si>
  <si>
    <t>Alinement of Truck # 29</t>
  </si>
  <si>
    <t>2149-9-0027-1</t>
  </si>
  <si>
    <t>Miles Sand and Gravel</t>
  </si>
  <si>
    <t>Tip Wall Improvement - Mason Co Recy Proforma</t>
  </si>
  <si>
    <t>Tozier</t>
  </si>
  <si>
    <t>Gateway Rental Centers</t>
  </si>
  <si>
    <t>2149-9-0034-1</t>
  </si>
  <si>
    <t>DESERT MICRO</t>
  </si>
  <si>
    <t>1 RouteManager License for Mason</t>
  </si>
  <si>
    <t>2149-9-0031-1</t>
  </si>
  <si>
    <t>Transfer Trailer</t>
  </si>
  <si>
    <t>Summit Trailer Sales</t>
  </si>
  <si>
    <t>2010 New 48' Walking Floor Trailer - Licensing</t>
  </si>
  <si>
    <t>2009 Chassis Warranty</t>
  </si>
  <si>
    <t>2009 Chasses Truck Decal</t>
  </si>
  <si>
    <t>2149-9-0032-1</t>
  </si>
  <si>
    <t>various</t>
  </si>
  <si>
    <t>Resi Recy Program - Start up cost</t>
  </si>
  <si>
    <t>2010 New Summit Aluminum Transfer Trailer</t>
  </si>
  <si>
    <t>2149-9-0036-1</t>
  </si>
  <si>
    <t>1HTWCAANX9J126605</t>
  </si>
  <si>
    <t>Use Tax for truck # 35</t>
  </si>
  <si>
    <t>Instillation of Auto Grease System Truck #27</t>
  </si>
  <si>
    <t>Instillation of Auto Grease System Truck #29</t>
  </si>
  <si>
    <t>2149-9-0035-1</t>
  </si>
  <si>
    <t>2007 New International REL (Package Purchase)</t>
  </si>
  <si>
    <t>2149-9-0040-1</t>
  </si>
  <si>
    <t>HEIL</t>
  </si>
  <si>
    <t>New 2009 International (Package Purchase)</t>
  </si>
  <si>
    <t>2149-9-0002-1</t>
  </si>
  <si>
    <t>Hood Canal Communications</t>
  </si>
  <si>
    <t>Voice mail system upgrade</t>
  </si>
  <si>
    <t>2149-9-0041-1</t>
  </si>
  <si>
    <t>Peterbilt 367</t>
  </si>
  <si>
    <t>New 2010 Peterbilt</t>
  </si>
  <si>
    <t>Service Truck Welder (Upgrades)</t>
  </si>
  <si>
    <t>2149-9-0011-1</t>
  </si>
  <si>
    <t>20 Yard Dropbox RL with seal</t>
  </si>
  <si>
    <t>2149-9-0033-1</t>
  </si>
  <si>
    <t>Probuild West</t>
  </si>
  <si>
    <t>Office Furnature - Probuild</t>
  </si>
  <si>
    <t>New Endless Chain Hoist for Mason County Garbage</t>
  </si>
  <si>
    <t>VIKING FLOORS &amp; INTERIORS</t>
  </si>
  <si>
    <t>2149-9-0007-1</t>
  </si>
  <si>
    <t>WESTERN PETERBILT</t>
  </si>
  <si>
    <t>2149-10-0017-1</t>
  </si>
  <si>
    <t>DRIVECAM INC</t>
  </si>
  <si>
    <t>(22) Drive Cam Units</t>
  </si>
  <si>
    <t>2149-10-0018-1</t>
  </si>
  <si>
    <t>CDW</t>
  </si>
  <si>
    <t>HP Pro 3000 PC (SN= SMXL0201H77)</t>
  </si>
  <si>
    <t>DriveCam</t>
  </si>
  <si>
    <t>DriveCam Installation Service</t>
  </si>
  <si>
    <t>2149-10-0010-1</t>
  </si>
  <si>
    <t>The Gear Box, Inc.</t>
  </si>
  <si>
    <t>Capital Repair; New Transmission - Truck #25</t>
  </si>
  <si>
    <t>2149-10-0011-1</t>
  </si>
  <si>
    <t>WASTEQUIP</t>
  </si>
  <si>
    <t>2  Yard REL Containers</t>
  </si>
  <si>
    <t>2149-10-0012-1</t>
  </si>
  <si>
    <t>2149-10-0001-1</t>
  </si>
  <si>
    <t>(100) 48 Gallon and (100) 96 Gallon Refuse/Commingle Carts</t>
  </si>
  <si>
    <t>2149-10-0021-1</t>
  </si>
  <si>
    <t>THE MARLIN COMPANY</t>
  </si>
  <si>
    <t>New Electronic Marlin Board for Mason County</t>
  </si>
  <si>
    <t>2149-10-0019-1</t>
  </si>
  <si>
    <t>HIRED HANDS LLC</t>
  </si>
  <si>
    <t>New lighting for Mason Co. Shop</t>
  </si>
  <si>
    <t>2149-10-0022-1</t>
  </si>
  <si>
    <t>Aaqua Tools, Inc.</t>
  </si>
  <si>
    <t>New Cart Washer</t>
  </si>
  <si>
    <t>2149-10-0023-1</t>
  </si>
  <si>
    <t>DRIVECAM</t>
  </si>
  <si>
    <t>(3) Drive Cam Units</t>
  </si>
  <si>
    <t>20 inch Cable Extension for Drive Cam Units</t>
  </si>
  <si>
    <t>2149-10-0020-2</t>
  </si>
  <si>
    <t>SNAP ON BUSINESS SOLUTION</t>
  </si>
  <si>
    <t>Shop diagnostic laptop computer and software</t>
  </si>
  <si>
    <t>2149-10-0020-1</t>
  </si>
  <si>
    <t>Shop diagnostic laptop (additional funds)</t>
  </si>
  <si>
    <t>Road Tractor</t>
  </si>
  <si>
    <t>2000 Peterbilt 378 Tractor</t>
  </si>
  <si>
    <t>2149-10-0014-1</t>
  </si>
  <si>
    <t>Agate Land Surveying PLLC</t>
  </si>
  <si>
    <t>Paving &amp; Stormwater Improvements</t>
  </si>
  <si>
    <t>Jimini Construction LLC</t>
  </si>
  <si>
    <t>Paving Work at Mason County - paving and sub-grade prep</t>
  </si>
  <si>
    <t>KAMIN EXCAVATION LLC</t>
  </si>
  <si>
    <t>Draw #3 for parking and storage site work</t>
  </si>
  <si>
    <t>2149-11-0018-1</t>
  </si>
  <si>
    <t>20 YD Drop Boxes w/ Solid Lids</t>
  </si>
  <si>
    <t>2149-10-0013-1</t>
  </si>
  <si>
    <t>Property Security Fence - S. &amp; W. Side</t>
  </si>
  <si>
    <t>2149-11-0020-1</t>
  </si>
  <si>
    <t>Enterprise Sales, Inc.</t>
  </si>
  <si>
    <t>1 YD REL Containers (Metal)</t>
  </si>
  <si>
    <t>Rock Bottom Fencing</t>
  </si>
  <si>
    <t>Property Security Fence - Final Payment</t>
  </si>
  <si>
    <t>1.5 Yard Commercial Containers</t>
  </si>
  <si>
    <t>2149-11-0002-1</t>
  </si>
  <si>
    <t>JIMINI CONSTRUCTION LLC</t>
  </si>
  <si>
    <t>Paving and Stormwater improvements - final</t>
  </si>
  <si>
    <t>2149-11-0003-1</t>
  </si>
  <si>
    <t>REHRIG PACIFIC COMPANY</t>
  </si>
  <si>
    <t>2 Yard REL Containers (Plastic)</t>
  </si>
  <si>
    <t>2149-11-0023-1</t>
  </si>
  <si>
    <t>7.5 hp 80 Gallon Air Compressor</t>
  </si>
  <si>
    <t>PACLAND</t>
  </si>
  <si>
    <t>Observation of Construction Site &amp; Document Deviations (from approved Plans)</t>
  </si>
  <si>
    <t>PACLAND-OLYMPIA</t>
  </si>
  <si>
    <t>Observe Construction site &amp; Not Devistions from Plans</t>
  </si>
  <si>
    <t>Stormwater Improvements</t>
  </si>
  <si>
    <t>2149-11-0025-1</t>
  </si>
  <si>
    <t>Panasonic Toughbook 53 (SN = %1ITSA31045)</t>
  </si>
  <si>
    <t>2149-11-0024-1</t>
  </si>
  <si>
    <t>ADT SECURITY SYSTEMS</t>
  </si>
  <si>
    <t>ADT Alarm expansion (new office &amp; shop space)</t>
  </si>
  <si>
    <t>Ford</t>
  </si>
  <si>
    <t>1FTRX17W5XNA40560</t>
  </si>
  <si>
    <t>1999 Ford F-150</t>
  </si>
  <si>
    <t>Professional Services</t>
  </si>
  <si>
    <t>1010-12-0018-1</t>
  </si>
  <si>
    <t>cdw</t>
  </si>
  <si>
    <t>Sony Internet TV (SN = S018092692M)</t>
  </si>
  <si>
    <t>2149-12-0002-1</t>
  </si>
  <si>
    <t>Intercompany - (2010)</t>
  </si>
  <si>
    <t>New Solid Top Roll-Off Lids - 20yard RO Boxes</t>
  </si>
  <si>
    <t>2149-12-0013-1</t>
  </si>
  <si>
    <t>TDS - Tire Distribution S</t>
  </si>
  <si>
    <t>New Tire Torque Tool</t>
  </si>
  <si>
    <t>2149-12-0008-1</t>
  </si>
  <si>
    <t>1.5 Yard Dark Blue Containers</t>
  </si>
  <si>
    <t>2149-12-0014-3</t>
  </si>
  <si>
    <t>48 Gallon Granite Carts</t>
  </si>
  <si>
    <t>2149-12-0015-1</t>
  </si>
  <si>
    <t>HP Probook 6460b (SN = CNU2181BMZ) and Docking Station (SN = CNU213X4H4)</t>
  </si>
  <si>
    <t>2149-12-0014-2</t>
  </si>
  <si>
    <t>35 Gallon Carts - ROC Grey</t>
  </si>
  <si>
    <t>2149-12-0014-1</t>
  </si>
  <si>
    <t>(12) 80  Gallon Carts &amp; (12) 65 Gallon Cart Lids</t>
  </si>
  <si>
    <t>2149-12-0017-1</t>
  </si>
  <si>
    <t>Work performed by distric</t>
  </si>
  <si>
    <t>New solid top roll-off lids - 20 yard R/O boxes (Upgrades)</t>
  </si>
  <si>
    <t>1010-12-0021-1</t>
  </si>
  <si>
    <t>RTA Equipment</t>
  </si>
  <si>
    <t>2149-12-0018-1</t>
  </si>
  <si>
    <t>(4) Drive Cam Units</t>
  </si>
  <si>
    <t>2149-12-0019-1</t>
  </si>
  <si>
    <t>PRO SERVICES</t>
  </si>
  <si>
    <t>Landscaping - Septic System</t>
  </si>
  <si>
    <t>2149-12-0009-1</t>
  </si>
  <si>
    <t>New shop improvements - Paint</t>
  </si>
  <si>
    <t>2149-12-0016-1</t>
  </si>
  <si>
    <t>2149-13-0005-1</t>
  </si>
  <si>
    <t>Vancouver Hauling</t>
  </si>
  <si>
    <t>ROLF Lids-Solid Top-Qty 4, 20 yd</t>
  </si>
  <si>
    <t>2149-13-0004-1</t>
  </si>
  <si>
    <t>2149-13-0009-1</t>
  </si>
  <si>
    <t>48 Gal Carts</t>
  </si>
  <si>
    <t>2149-13-0015-1</t>
  </si>
  <si>
    <t>10yd ROL Containers</t>
  </si>
  <si>
    <t>Fruehauf</t>
  </si>
  <si>
    <t>0MF312104</t>
  </si>
  <si>
    <t>2149-13-0006-1</t>
  </si>
  <si>
    <t>1Yd REL Metal Containers</t>
  </si>
  <si>
    <t>2149-13-0017-1</t>
  </si>
  <si>
    <t>Lift gate - Container Delivery Truck</t>
  </si>
  <si>
    <t>2149-13-0011-1</t>
  </si>
  <si>
    <t>Wash Pad and Wash Water</t>
  </si>
  <si>
    <t>35 Gallon Grey Solid Waste Carts and Lids</t>
  </si>
  <si>
    <t>95 Gallon Recycle Cart and Green Lid</t>
  </si>
  <si>
    <t>95 Gallon Grey Solid Waste Cart and Lids</t>
  </si>
  <si>
    <t>2149-13-0018-1</t>
  </si>
  <si>
    <t>40 Yd ROLF Dropbox with Lid</t>
  </si>
  <si>
    <t>2149-13-0019-1</t>
  </si>
  <si>
    <t>Install catch basin and attach to existing storm water drain</t>
  </si>
  <si>
    <t>CAPITAL INDUSTRIAL</t>
  </si>
  <si>
    <t>Conversion with Liftgate - Container Delivery Truck #4</t>
  </si>
  <si>
    <t>Mason County Department o</t>
  </si>
  <si>
    <t>Building Permit Fee and Geotechnical Report Review</t>
  </si>
  <si>
    <t>(2) Hella LED Work Lamps, (2) 3 Head Amber Strobe Light and installation</t>
  </si>
  <si>
    <t>KAUFMAN CONSTRUCTION &amp; DE</t>
  </si>
  <si>
    <t>Progress Billing 08/20/13 to 12/31/13 Wash Pad</t>
  </si>
  <si>
    <t>Truck Wash Pad Engineering</t>
  </si>
  <si>
    <t>2149-14-0008-1</t>
  </si>
  <si>
    <t>PRO AD CO</t>
  </si>
  <si>
    <t>Recycling Decals for 96 Gal Containers</t>
  </si>
  <si>
    <t>96 Gallon  Dark Grey Granite Recycle Carts</t>
  </si>
  <si>
    <t>ACTIVE UNDERGROUND</t>
  </si>
  <si>
    <t>Labor/Materials Septic Tank</t>
  </si>
  <si>
    <t>2149-14-0009-1</t>
  </si>
  <si>
    <t>Labor/Equipment &amp; Materials Septic Tank</t>
  </si>
  <si>
    <t>PSI</t>
  </si>
  <si>
    <t>Steel Structure Inspection</t>
  </si>
  <si>
    <t>2000-14-0006-1</t>
  </si>
  <si>
    <t>2149-14-0010-1</t>
  </si>
  <si>
    <t>35 Gal Grey Plastic Carts and Lids</t>
  </si>
  <si>
    <t>2149-14-0011-1</t>
  </si>
  <si>
    <t>48 Gal Grey Plastic Carts and Lids</t>
  </si>
  <si>
    <t>2149-14-0012-1</t>
  </si>
  <si>
    <t>2149-14-0017-1</t>
  </si>
  <si>
    <t>Tip Wall Lighting</t>
  </si>
  <si>
    <t>2149-14-0013-1</t>
  </si>
  <si>
    <t>2015 Freightliner 16m REL</t>
  </si>
  <si>
    <t>2149-14-0016-1</t>
  </si>
  <si>
    <t>Winch Upgrades - Various Containers</t>
  </si>
  <si>
    <t>2149-15-0006-1</t>
  </si>
  <si>
    <t>Site Response LLC</t>
  </si>
  <si>
    <t>2149-15-0015-1</t>
  </si>
  <si>
    <t>Toter</t>
  </si>
  <si>
    <t>96 Gal Carts</t>
  </si>
  <si>
    <t>48 Gal carts</t>
  </si>
  <si>
    <t>2149-15-0013-1</t>
  </si>
  <si>
    <t>AMB Tools and Equip-Tacom</t>
  </si>
  <si>
    <t>2149-15-0017-1</t>
  </si>
  <si>
    <t>2 Winterms</t>
  </si>
  <si>
    <t>2149-15-0001-1</t>
  </si>
  <si>
    <t>Peterbilt</t>
  </si>
  <si>
    <t>2016 Peterbilt 320 ASL</t>
  </si>
  <si>
    <t>2149-15-0018-1</t>
  </si>
  <si>
    <t>35 Gal Gray Refuse Carts</t>
  </si>
  <si>
    <t>96 Gal Gray Refuse Carts</t>
  </si>
  <si>
    <t>64 Gal Gray Refuse Carts</t>
  </si>
  <si>
    <t>24 Gal Gray Refuse Carts</t>
  </si>
  <si>
    <t>2149-15-0016-1</t>
  </si>
  <si>
    <t>1.5 yd REL Containers</t>
  </si>
  <si>
    <t>2 yd REL Containers</t>
  </si>
  <si>
    <t>2016 Peterbilt ASL Licensing Fees</t>
  </si>
  <si>
    <t>2149-15-0019-1</t>
  </si>
  <si>
    <t>Mac Tools</t>
  </si>
  <si>
    <t>A/C Machine</t>
  </si>
  <si>
    <t>Yakima Waste Systems</t>
  </si>
  <si>
    <t>1979 Fruehauf Pup Trailer</t>
  </si>
  <si>
    <t>2149-15-0022-1</t>
  </si>
  <si>
    <t>WESTERN CASCADE CONTAINER</t>
  </si>
  <si>
    <t>20 YD Recycle Container</t>
  </si>
  <si>
    <t>20YD RO Container</t>
  </si>
  <si>
    <t>2149-16-0019-1</t>
  </si>
  <si>
    <t>20 YD Blue RO Boxes</t>
  </si>
  <si>
    <t>2149-16-0003-1</t>
  </si>
  <si>
    <t>2149-15-0021-1</t>
  </si>
  <si>
    <t>PACCAR</t>
  </si>
  <si>
    <t>Transmission Rebuild</t>
  </si>
  <si>
    <t>2149-16-0017-1</t>
  </si>
  <si>
    <t>VERIZON WIRELESS P1667~NA</t>
  </si>
  <si>
    <t>24 Samsung Tablets</t>
  </si>
  <si>
    <t>2149-16-0021-1</t>
  </si>
  <si>
    <t>2 yd REL w/ lock bar</t>
  </si>
  <si>
    <t>2 yd REL Container</t>
  </si>
  <si>
    <t>1.5 yd REL Container</t>
  </si>
  <si>
    <t>1.5 yd RL</t>
  </si>
  <si>
    <t>1 yd REL Container</t>
  </si>
  <si>
    <t>2149-16-0020-1</t>
  </si>
  <si>
    <t>20 YD Recycle box w/ 10X17 Recycle Window</t>
  </si>
  <si>
    <t>96 Gallon Refuse Carts</t>
  </si>
  <si>
    <t>64 Gallon Refuse Carts</t>
  </si>
  <si>
    <t>48 Gallon Refuse Carts</t>
  </si>
  <si>
    <t>35 Gallon Refuse Carts</t>
  </si>
  <si>
    <t>2149-16-0016-1</t>
  </si>
  <si>
    <t>10 YD Container W/ Lid</t>
  </si>
  <si>
    <t>FL2</t>
  </si>
  <si>
    <t>2149-16-0022-1</t>
  </si>
  <si>
    <t>Hyster</t>
  </si>
  <si>
    <t>2007 Hyster forklift H110FT</t>
  </si>
  <si>
    <t>2149-16-0023-1</t>
  </si>
  <si>
    <t>TEMCO Distributers</t>
  </si>
  <si>
    <t>Hot Water Pressure Washer</t>
  </si>
  <si>
    <t>ProClips</t>
  </si>
  <si>
    <t>(30) Toughsleeves for tablets</t>
  </si>
  <si>
    <t>2149-16-0026-1</t>
  </si>
  <si>
    <t>TOTER LLC</t>
  </si>
  <si>
    <t>2149-16-0007-1</t>
  </si>
  <si>
    <t>Puget Suond Truck Sales</t>
  </si>
  <si>
    <t>2006 Walking Floor Model ATSLT 123 ft3</t>
  </si>
  <si>
    <t>2149-16-0028-1</t>
  </si>
  <si>
    <t>Panasonic Toughbook 53 Lite</t>
  </si>
  <si>
    <t>2149-16-0025-1</t>
  </si>
  <si>
    <t>64 Gallon MSW Carts</t>
  </si>
  <si>
    <t>96 Gallon MSW Carts</t>
  </si>
  <si>
    <t>48 Gallon MSW Carts</t>
  </si>
  <si>
    <t>21 Gallon MSW Carts</t>
  </si>
  <si>
    <t>35 Gallon MSW Carts</t>
  </si>
  <si>
    <t>2149-16-0027-1</t>
  </si>
  <si>
    <t>NA</t>
  </si>
  <si>
    <t>Tennant</t>
  </si>
  <si>
    <t>5680-10611542</t>
  </si>
  <si>
    <t>2149-16-0030-1</t>
  </si>
  <si>
    <t>WHISLER COMMUNICATIONS</t>
  </si>
  <si>
    <t>New Radio System (29 Radios)</t>
  </si>
  <si>
    <t>2149-16-0008-1</t>
  </si>
  <si>
    <t>TREND SERVICES INC</t>
  </si>
  <si>
    <t>Scales</t>
  </si>
  <si>
    <t>INTERJECT DATA SYSTEMS IN</t>
  </si>
  <si>
    <t>Nexia Tech</t>
  </si>
  <si>
    <t>UNITEC CORPORATION</t>
  </si>
  <si>
    <t>2149-16-0005-1</t>
  </si>
  <si>
    <t>40yd boxes with lids</t>
  </si>
  <si>
    <t>2149-16-0031-1</t>
  </si>
  <si>
    <t>Service Truck Crane Installation</t>
  </si>
  <si>
    <t>Empire Disposal</t>
  </si>
  <si>
    <t>Peterbilt 378 tractor</t>
  </si>
  <si>
    <t>2121-12-0002-1</t>
  </si>
  <si>
    <t>Engine Rebuild- Truck 355- Partial Pmt</t>
  </si>
  <si>
    <t>Engine Rebuild- Truck 355- Final Pmt</t>
  </si>
  <si>
    <t>Repairs to Long Haul Truck #349</t>
  </si>
  <si>
    <t>Sales Tax on Repairs to Long Haul Truck #349</t>
  </si>
  <si>
    <t>07-2111-019</t>
  </si>
  <si>
    <t>2008 Peterbilt 320 ASL</t>
  </si>
  <si>
    <t>LICENSING FOR VIN 718428</t>
  </si>
  <si>
    <t>2111-16-0028-1</t>
  </si>
  <si>
    <t>Mcneilus</t>
  </si>
  <si>
    <t>2149-17-0012-1</t>
  </si>
  <si>
    <t>CAPITAL INDUSTRIES INC</t>
  </si>
  <si>
    <t>1.5yd Commercial REL Containers</t>
  </si>
  <si>
    <t>2yd REL Containers</t>
  </si>
  <si>
    <t>2149-17-0013-2</t>
  </si>
  <si>
    <t>WASTEQUIP LLC</t>
  </si>
  <si>
    <t>2149-17-0013-1</t>
  </si>
  <si>
    <t>2149-17-0014-1</t>
  </si>
  <si>
    <t>Engine Overhaul Kit for FAS#80334</t>
  </si>
  <si>
    <t>2149-17-0016-1</t>
  </si>
  <si>
    <t>2149-17-0017-1</t>
  </si>
  <si>
    <t>HP ProBook 640 G2 (Ops mgr)</t>
  </si>
  <si>
    <t>2149-17-0015-1</t>
  </si>
  <si>
    <t>64 Gallon MSW Totes UTC</t>
  </si>
  <si>
    <t>96 Gallon MSW Totes UTC</t>
  </si>
  <si>
    <t>2149-17-0018-1</t>
  </si>
  <si>
    <t>MASON COUNTY AUDITOR</t>
  </si>
  <si>
    <t>2149-17-0018-5</t>
  </si>
  <si>
    <t>2149-17-0018-4</t>
  </si>
  <si>
    <t>2149-17-0009-1</t>
  </si>
  <si>
    <t>Freightliner</t>
  </si>
  <si>
    <t>1FVHCYE9JHJG9318</t>
  </si>
  <si>
    <t>2018 Freightliner M2 REL</t>
  </si>
  <si>
    <t>2149-17-0018-12</t>
  </si>
  <si>
    <t>City of Shelton</t>
  </si>
  <si>
    <t>2149-17-0018-6</t>
  </si>
  <si>
    <t>2149-17-0018-15</t>
  </si>
  <si>
    <t>2149-17-0018-8</t>
  </si>
  <si>
    <t>2149-17-0018-14</t>
  </si>
  <si>
    <t>2149-17-0018-13</t>
  </si>
  <si>
    <t>2149-17-0018-11</t>
  </si>
  <si>
    <t>65 Gallon MSW Carts - Shelton</t>
  </si>
  <si>
    <t>2149-17-0018-9</t>
  </si>
  <si>
    <t>2149-17-0018-7</t>
  </si>
  <si>
    <t>2149-17-0018-10</t>
  </si>
  <si>
    <t>2149-17-0008-1</t>
  </si>
  <si>
    <t>2017 Peterbilt 320 ASL</t>
  </si>
  <si>
    <t>2149-17-0031-1</t>
  </si>
  <si>
    <t>Chevrolet</t>
  </si>
  <si>
    <t>Sunset</t>
  </si>
  <si>
    <t>1GCUKREC4HF241300</t>
  </si>
  <si>
    <t>WCI</t>
  </si>
  <si>
    <t>HEIL ENVIRONMENTAL IND LT</t>
  </si>
  <si>
    <t>Roll Bar Kit on REL</t>
  </si>
  <si>
    <t>Triple C Fabricators LLC</t>
  </si>
  <si>
    <t>Paint Lift Gate on REL</t>
  </si>
  <si>
    <t>2149-17-0033-1</t>
  </si>
  <si>
    <t>2149-17-0033-3</t>
  </si>
  <si>
    <t>2149-18-0016-1</t>
  </si>
  <si>
    <t>SHRUM CONSTRUCTION</t>
  </si>
  <si>
    <t>2149-17-0032-1</t>
  </si>
  <si>
    <t>PROTECTION ONE</t>
  </si>
  <si>
    <t>2149-18-0018-1</t>
  </si>
  <si>
    <t>2149-18-0019-1</t>
  </si>
  <si>
    <t>2149-18-0020-1</t>
  </si>
  <si>
    <t>ROTATIONAL MOLDING INC</t>
  </si>
  <si>
    <t>2149-18-0011-1</t>
  </si>
  <si>
    <t>Lytx - Drivecam</t>
  </si>
  <si>
    <t>2019 Peterbilt 520 ASL</t>
  </si>
  <si>
    <t>2149-18-0012-1</t>
  </si>
  <si>
    <t>Titan</t>
  </si>
  <si>
    <t>WA Department of Licensin</t>
  </si>
  <si>
    <t>2149-18-0022-1</t>
  </si>
  <si>
    <t>2149-18-0021-2</t>
  </si>
  <si>
    <t>2149-18-0021-3</t>
  </si>
  <si>
    <t>2149-18-0021-4</t>
  </si>
  <si>
    <t>2149-18-0025-1</t>
  </si>
  <si>
    <t>2149-18-0021-1</t>
  </si>
  <si>
    <t>1996 International type m</t>
  </si>
  <si>
    <t>2149-18-0026-1</t>
  </si>
  <si>
    <t>Manlift</t>
  </si>
  <si>
    <t>Skyjack</t>
  </si>
  <si>
    <t>SkyJack</t>
  </si>
  <si>
    <t>2149-18-0027-1</t>
  </si>
  <si>
    <t>2149-18-0024-1</t>
  </si>
  <si>
    <t>2149-18-0023-1</t>
  </si>
  <si>
    <t>Maples Excavating</t>
  </si>
  <si>
    <t>22 Ft Storage Units</t>
  </si>
  <si>
    <t>2149-19-0008-1</t>
  </si>
  <si>
    <t>2112-16-0032-1</t>
  </si>
  <si>
    <t>Dodge</t>
  </si>
  <si>
    <t>1C6RR7LTXES103845</t>
  </si>
  <si>
    <t>DM Pickup Truck Dodge Ram 1500</t>
  </si>
  <si>
    <t>5 STAR INDUSTRIES LLC</t>
  </si>
  <si>
    <t>204) 48gal, (288) 65gal, and (900) 95gal Totes</t>
  </si>
  <si>
    <t>2149-19-0009-1</t>
  </si>
  <si>
    <t>RULE STEEL TANKS INC</t>
  </si>
  <si>
    <t>2149-19-0011-1</t>
  </si>
  <si>
    <t>2149-19-0002</t>
  </si>
  <si>
    <t>2186-19-0013-1</t>
  </si>
  <si>
    <t>CITY OF SOUTH BEND</t>
  </si>
  <si>
    <t>2149-19-0010-1</t>
  </si>
  <si>
    <t>ENVIRONMENTAL METAL WORKS</t>
  </si>
  <si>
    <t>20yd RO Boxes</t>
  </si>
  <si>
    <t>40yd RO Boxes</t>
  </si>
  <si>
    <t>2149-19-0012-1</t>
  </si>
  <si>
    <t>40yd Metal Containers</t>
  </si>
  <si>
    <t>20yd Metal Containers</t>
  </si>
  <si>
    <t>Farm Tractor</t>
  </si>
  <si>
    <t>John Deere</t>
  </si>
  <si>
    <t>W00622X005658</t>
  </si>
  <si>
    <t>1990 John Deer Gator type S</t>
  </si>
  <si>
    <t>2149-19-0002-1</t>
  </si>
  <si>
    <t>WA DOL</t>
  </si>
  <si>
    <t>2019 Peterbilt ASL Truck- Body</t>
  </si>
  <si>
    <t>2149-19-0013-1</t>
  </si>
  <si>
    <t>96gal Recy Carts</t>
  </si>
  <si>
    <t>64gal Recy Carts</t>
  </si>
  <si>
    <t>10 YARD RO Containers</t>
  </si>
  <si>
    <t>20 YARD RO Containers</t>
  </si>
  <si>
    <t>22 YARD RO Containers</t>
  </si>
  <si>
    <t>40 YARD RO Containers</t>
  </si>
  <si>
    <t>2149-19-0001</t>
  </si>
  <si>
    <t>2149-19-0001-1</t>
  </si>
  <si>
    <t>New ASL Peterbilt / Labrie (31 yd)</t>
  </si>
  <si>
    <t>TITEN</t>
  </si>
  <si>
    <t>2149-20-0016-1</t>
  </si>
  <si>
    <t>96 Gal Recy Carts</t>
  </si>
  <si>
    <t>96 Gal MSW Carts</t>
  </si>
  <si>
    <t>2149-20-0017-1</t>
  </si>
  <si>
    <t>2YD REL Metal Containers</t>
  </si>
  <si>
    <t>2149-20-0015</t>
  </si>
  <si>
    <t>Peterblit</t>
  </si>
  <si>
    <t>2NP3LJ0X8LM692581</t>
  </si>
  <si>
    <t>20 Yard R/O Containers</t>
  </si>
  <si>
    <t>10 Yard R/O Containers</t>
  </si>
  <si>
    <t>30 Yard R/O Containers</t>
  </si>
  <si>
    <t>2149-20-0018-1</t>
  </si>
  <si>
    <t>REHRIG PACIFIC COMPANY IN</t>
  </si>
  <si>
    <t>65gal MSW Carts</t>
  </si>
  <si>
    <t>2149-20-0015-1</t>
  </si>
  <si>
    <t>2149-20-0013</t>
  </si>
  <si>
    <t>2149-20-0019-1</t>
  </si>
  <si>
    <t>Lytx</t>
  </si>
  <si>
    <t>2149-20-0014</t>
  </si>
  <si>
    <t>2149-20-0020-1</t>
  </si>
  <si>
    <t>95Gal Recycle Carts</t>
  </si>
  <si>
    <t>95Gal MSW Carts</t>
  </si>
  <si>
    <t>65Gal MSW Carts</t>
  </si>
  <si>
    <t>2149-20-0012</t>
  </si>
  <si>
    <t>2149-21-0006-1</t>
  </si>
  <si>
    <t>DriveCam Upgrades -Qt.2</t>
  </si>
  <si>
    <t>2149-21-0001</t>
  </si>
  <si>
    <t>Storage Yard - Fencing</t>
  </si>
  <si>
    <t>2149-21-0008-1</t>
  </si>
  <si>
    <t>2149-21-0007-1</t>
  </si>
  <si>
    <t>2Yd REL Metal Containers</t>
  </si>
  <si>
    <t>20Yd Rolloff Boxes</t>
  </si>
  <si>
    <t>2149-21-0009-1</t>
  </si>
  <si>
    <t>48gal Plastic MSW Carts</t>
  </si>
  <si>
    <t>1HTSCABL61H384451</t>
  </si>
  <si>
    <t>2001 Type M Curb</t>
  </si>
  <si>
    <t>2149-21-0010-1</t>
  </si>
  <si>
    <t>TANK HOLDING CORP</t>
  </si>
  <si>
    <t>300gal Plastic Containers</t>
  </si>
  <si>
    <t>2149-21-0002</t>
  </si>
  <si>
    <t>1NPCX4EX1ND783005</t>
  </si>
  <si>
    <t>2022 Peterbilt ROL Truck</t>
  </si>
  <si>
    <t>1010-21-0038</t>
  </si>
  <si>
    <t>2149-21-0011-1</t>
  </si>
  <si>
    <t>2yd REL Metal Containers</t>
  </si>
  <si>
    <t>2149-21-0012-1</t>
  </si>
  <si>
    <t>95gal Recycle Totes</t>
  </si>
  <si>
    <t>95gal Garbage Totes</t>
  </si>
  <si>
    <t>65gal Garbage Totes</t>
  </si>
  <si>
    <t>Murreys Disposal</t>
  </si>
  <si>
    <t>Dewalt Northwest</t>
  </si>
  <si>
    <t>194714-164725</t>
  </si>
  <si>
    <t>2yd Containers</t>
  </si>
  <si>
    <t>DM Recycling</t>
  </si>
  <si>
    <t>20 yd Drop Box w/Lids</t>
  </si>
  <si>
    <t>20yd Drop Box (N)</t>
  </si>
  <si>
    <t>American Portable Storage</t>
  </si>
  <si>
    <t>12 ft Storage Units</t>
  </si>
  <si>
    <t>1 Yard FEL Containers w/ Lids &amp; Casters</t>
  </si>
  <si>
    <t>01-2111-006</t>
  </si>
  <si>
    <t>2 Yd RL Containers</t>
  </si>
  <si>
    <t>2149-21-0004</t>
  </si>
  <si>
    <t>3BPDLK0X9NF111043</t>
  </si>
  <si>
    <t>2022 Peterbilt ASL Truck</t>
  </si>
  <si>
    <t>2149-21-0002-1</t>
  </si>
  <si>
    <t>WA State DOL</t>
  </si>
  <si>
    <t>License for Truck 50</t>
  </si>
  <si>
    <t>2149-21-0004-1</t>
  </si>
  <si>
    <t>License for Truck 49</t>
  </si>
  <si>
    <t>2149-21-0015-1</t>
  </si>
  <si>
    <t>65gal MSW Totes</t>
  </si>
  <si>
    <t>95gal MSW Totes</t>
  </si>
  <si>
    <t>2149-21-0014-1</t>
  </si>
  <si>
    <t>48gal MSW Totes</t>
  </si>
  <si>
    <t>1yd REL Metal Containers</t>
  </si>
  <si>
    <t>1010-21-0039</t>
  </si>
  <si>
    <t>3rd Eye Camera</t>
  </si>
  <si>
    <t>3rd Eye Camera -Cables</t>
  </si>
  <si>
    <t>2149-21-0013-1</t>
  </si>
  <si>
    <t>Pape Kenworth</t>
  </si>
  <si>
    <t>Capital Repair: ASL Truck 29 Engine Inframe</t>
  </si>
  <si>
    <t>Activity Cd</t>
  </si>
  <si>
    <t>Company Asset #</t>
  </si>
  <si>
    <t>Former Company</t>
  </si>
  <si>
    <t>Expense Account</t>
  </si>
  <si>
    <t>NBV</t>
  </si>
  <si>
    <t>Asset Account</t>
  </si>
  <si>
    <t>Useful Life</t>
  </si>
  <si>
    <t>CER #</t>
  </si>
  <si>
    <t>In Service Date</t>
  </si>
  <si>
    <t>Body Mfg</t>
  </si>
  <si>
    <t>Model Year</t>
  </si>
  <si>
    <t>2149</t>
  </si>
  <si>
    <t>Fixed Asset Register</t>
  </si>
  <si>
    <t>DeprMethod</t>
  </si>
  <si>
    <t>ActivityCd</t>
  </si>
  <si>
    <t>CompAsstNo</t>
  </si>
  <si>
    <t>FormerCompany</t>
  </si>
  <si>
    <t>AcqType</t>
  </si>
  <si>
    <t>CurrentPeriodDepr</t>
  </si>
  <si>
    <t>ExpenseGL</t>
  </si>
  <si>
    <t>CurrentYearToDate</t>
  </si>
  <si>
    <t>CurrentLifeToDate</t>
  </si>
  <si>
    <t>AccumulatedGL</t>
  </si>
  <si>
    <t>AcqValue</t>
  </si>
  <si>
    <t>AssetGL</t>
  </si>
  <si>
    <t>EstimatedLife</t>
  </si>
  <si>
    <t>PONumber</t>
  </si>
  <si>
    <t>AcquisitionDate</t>
  </si>
  <si>
    <t>InServiceDate</t>
  </si>
  <si>
    <t>InsuranceCategory</t>
  </si>
  <si>
    <t>BodyManuf</t>
  </si>
  <si>
    <t>VendorMfg</t>
  </si>
  <si>
    <t>ModelYear</t>
  </si>
  <si>
    <t>MFGSerialNum</t>
  </si>
  <si>
    <t>ParentChild</t>
  </si>
  <si>
    <t>AssetID</t>
  </si>
  <si>
    <t>Location</t>
  </si>
  <si>
    <t>Check</t>
  </si>
  <si>
    <t>Month</t>
  </si>
  <si>
    <t>YearPIS</t>
  </si>
  <si>
    <t>Year Fully Dep</t>
  </si>
  <si>
    <t>Year/Mo Fully Dep</t>
  </si>
  <si>
    <t>Monthly Dep</t>
  </si>
  <si>
    <t>Annual Dep</t>
  </si>
  <si>
    <t>Test Year Dep</t>
  </si>
  <si>
    <t>BOY Accum</t>
  </si>
  <si>
    <t>EOY Accum</t>
  </si>
  <si>
    <t>EOY Average Investment</t>
  </si>
  <si>
    <t>Pre 8/1/21 Add?</t>
  </si>
  <si>
    <t>Second year</t>
  </si>
  <si>
    <t>Row Labels</t>
  </si>
  <si>
    <t>Sum of Cost</t>
  </si>
  <si>
    <t>Sum of Test Year Dep</t>
  </si>
  <si>
    <t>Sum of BOY Accum</t>
  </si>
  <si>
    <t>Sum of EOY Accum</t>
  </si>
  <si>
    <t>Sum of EOY Average Investment</t>
  </si>
  <si>
    <t>Equipment Type for Lookup</t>
  </si>
  <si>
    <t>Proforma Assets</t>
  </si>
  <si>
    <t>Capital Repair: Engine</t>
  </si>
  <si>
    <t>2149-22-0020-1</t>
  </si>
  <si>
    <t xml:space="preserve">Non-Rolling Stock </t>
  </si>
  <si>
    <t>REL Transmission Repair</t>
  </si>
  <si>
    <t>US Transmissions, Inc.</t>
  </si>
  <si>
    <t>2149-22-0021-1</t>
  </si>
  <si>
    <t>Geo Tablets</t>
  </si>
  <si>
    <t>1010-21-0060</t>
  </si>
  <si>
    <t>300G Plastic Totes</t>
  </si>
  <si>
    <t>2149-22-0009-1</t>
  </si>
  <si>
    <t>95gal Plastic Totes</t>
  </si>
  <si>
    <t>2149-22-0010-1</t>
  </si>
  <si>
    <t>NOREGON Shop Panasonic Toughbook FZ-55</t>
  </si>
  <si>
    <t>NOREGON SYSTEMS INC</t>
  </si>
  <si>
    <t>2149-22-0008-1</t>
  </si>
  <si>
    <t>2149-22-0007-1</t>
  </si>
  <si>
    <t>40 Yard R/O Containers</t>
  </si>
  <si>
    <t xml:space="preserve">2022 Cont.Audit- Partial </t>
  </si>
  <si>
    <t>3BPDLK0XXNF113156</t>
  </si>
  <si>
    <t>2149-22-0002-1</t>
  </si>
  <si>
    <t>Licensing for 2022 Peterbilt ASL Truck</t>
  </si>
  <si>
    <t>WA DOL MASON COUNTY LICEN</t>
  </si>
  <si>
    <t>2007 IHC Hooklift</t>
  </si>
  <si>
    <t>1HTMLAFL07H471810</t>
  </si>
  <si>
    <t>Multilift</t>
  </si>
  <si>
    <t>New Laptop for OM SN: 5CD152BK6K</t>
  </si>
  <si>
    <t>CDW DIR #PO  2149-22-0</t>
  </si>
  <si>
    <t>2149-22-0013-1</t>
  </si>
  <si>
    <t>Docking Station for Laptop - No SN on Amazon Purchases</t>
  </si>
  <si>
    <t>AMZN MKTP US WD8VE5R93 AM</t>
  </si>
  <si>
    <t>20 YD RO Boxes</t>
  </si>
  <si>
    <t>2149-22-0012-1</t>
  </si>
  <si>
    <t>2023 Peterbilt ROL Truck Chassis</t>
  </si>
  <si>
    <t>1NPCX4EX2PD839276</t>
  </si>
  <si>
    <t>2149-22-0004-1</t>
  </si>
  <si>
    <t>2023 Peterbilt ROL Truck- Body</t>
  </si>
  <si>
    <t>Truck 51 Licensing</t>
  </si>
  <si>
    <t>WA DOL LIC &amp; REG 71589</t>
  </si>
  <si>
    <t>1.5YD REL Container</t>
  </si>
  <si>
    <t>2149-22-0011-1</t>
  </si>
  <si>
    <t>65 GAL MSW CARTS</t>
  </si>
  <si>
    <t>2149-22-0017-1</t>
  </si>
  <si>
    <t>95 GAL MSW CARTS</t>
  </si>
  <si>
    <t>New Docking Station for Laptop - No SN on Amazon Purchases</t>
  </si>
  <si>
    <t>AMZN MKTP US XT09X77G3 AM</t>
  </si>
  <si>
    <t>2149-22-0014-1</t>
  </si>
  <si>
    <t>HP ProBook 630 G8 SN: 5CD2159V2X</t>
  </si>
  <si>
    <t>AMZN MKTP US 9J3RD6DQ3</t>
  </si>
  <si>
    <t>2149-22-0015-1</t>
  </si>
  <si>
    <t>HP ProBook 630 G8 SN: 5CD2159V2Q</t>
  </si>
  <si>
    <t>Docking Station for new computer - no SN on Amazon Purchases</t>
  </si>
  <si>
    <t>AMZN MKTP US 4Y04C47G3 AM</t>
  </si>
  <si>
    <t>2149-22-0016-1</t>
  </si>
  <si>
    <t>HP ProBook 630 G8 SN: 5CD2159V3X</t>
  </si>
  <si>
    <t>2023 Peterbilt ASL Truck</t>
  </si>
  <si>
    <t>3BPDLK0X6PF114128</t>
  </si>
  <si>
    <t>2149-22-0003-1</t>
  </si>
  <si>
    <t>Peterbilt 520/Labrie 28Yd (WUTC)-Licensing</t>
  </si>
  <si>
    <t>3rd Eye Drivecam Installation TO 2149</t>
  </si>
  <si>
    <t>VELOCITI INC</t>
  </si>
  <si>
    <t>1010-22-0041-1</t>
  </si>
  <si>
    <t>48g Carts</t>
  </si>
  <si>
    <t>2149-22-0018-1</t>
  </si>
  <si>
    <t>300 gal Plastic Totes</t>
  </si>
  <si>
    <t>2149-22-0019-1</t>
  </si>
  <si>
    <t>Test Period Beg. Month</t>
  </si>
  <si>
    <t>Test Period End Month</t>
  </si>
  <si>
    <t>Test Period End Mo/Yr</t>
  </si>
  <si>
    <t>Test Period Beg. Mo/Yr</t>
  </si>
  <si>
    <t>Transferred/Retired in 2023</t>
  </si>
  <si>
    <t>REL Comm MSW Truck</t>
  </si>
  <si>
    <t>Curbside Recycling - Reg Truck</t>
  </si>
  <si>
    <t>Roll-off Truck</t>
  </si>
  <si>
    <t>Old</t>
  </si>
  <si>
    <t>Garbage ASL Truck-Shared</t>
  </si>
  <si>
    <t>Commercial Recycling Truck</t>
  </si>
  <si>
    <t>Regulated REL Comm MSW Truck</t>
  </si>
  <si>
    <t>Carts - Recycling (Pre Shelton)</t>
  </si>
  <si>
    <t>REL Transmission - Cooler Lines</t>
  </si>
  <si>
    <t>Freightliner Northwest</t>
  </si>
  <si>
    <t>1.5YD REL Containers</t>
  </si>
  <si>
    <t>2149-23-0007-1</t>
  </si>
  <si>
    <t>AssetType</t>
  </si>
  <si>
    <t>Asset Type</t>
  </si>
  <si>
    <t>Donated - moved to transfers section - Truck 24</t>
  </si>
  <si>
    <t>Assets Through 12.31.2020</t>
  </si>
  <si>
    <t>Asset 28 - to transfer list</t>
  </si>
  <si>
    <t>Average Investment</t>
  </si>
  <si>
    <t>Annual Depreciation</t>
  </si>
  <si>
    <t>Garbage Trucks - Regulated Only</t>
  </si>
  <si>
    <t>GMC</t>
  </si>
  <si>
    <t>Capital Ind.</t>
  </si>
  <si>
    <t>AA Welding</t>
  </si>
  <si>
    <t>2006 Peterbilt Hooklift Truck</t>
  </si>
  <si>
    <t>2NPLHD6X16M631099</t>
  </si>
  <si>
    <t>Peterbilt 335</t>
  </si>
  <si>
    <t>2160-10-0004-1</t>
  </si>
  <si>
    <t>PO BOX 80983</t>
  </si>
  <si>
    <t>2149-23-0006-1</t>
  </si>
  <si>
    <t>20yd Open Top RO Box</t>
  </si>
  <si>
    <t>96 Gallon Plastic Carts</t>
  </si>
  <si>
    <t>FILE 2524</t>
  </si>
  <si>
    <t>2149-23-0010-1</t>
  </si>
  <si>
    <t>Asset 27 - to transfer list</t>
  </si>
  <si>
    <t>Note:  Additional assets that have not been placed on the Fixed Asset Register, but have been invoiced by the date of the filing.</t>
  </si>
  <si>
    <t>RO Truck</t>
  </si>
  <si>
    <t>Lives</t>
  </si>
  <si>
    <t>Ending Accumulated Depreciation</t>
  </si>
  <si>
    <t>(A)</t>
  </si>
  <si>
    <r>
      <t xml:space="preserve">(A)  </t>
    </r>
    <r>
      <rPr>
        <sz val="11"/>
        <color rgb="FFFF0000"/>
        <rFont val="Calibri"/>
        <family val="2"/>
        <scheme val="minor"/>
      </rPr>
      <t>Below is a breakdown of this cart purchase between MSW and Recycling</t>
    </r>
  </si>
  <si>
    <t>MSW Carts</t>
  </si>
  <si>
    <t>Recycle Carts</t>
  </si>
  <si>
    <t>Note:  Additional assets that have not been placed on the Fixed Asset Register, but are expected to arrive before rates go into effect.</t>
  </si>
  <si>
    <t>RO Containers</t>
  </si>
  <si>
    <t>Resi MSW Containers</t>
  </si>
  <si>
    <t>Resi Recycle Containers</t>
  </si>
  <si>
    <t>Commercial Containers</t>
  </si>
  <si>
    <t>Units</t>
  </si>
  <si>
    <t>MajorCategory</t>
  </si>
  <si>
    <t>MinorCategory</t>
  </si>
  <si>
    <t>Container_Size</t>
  </si>
  <si>
    <t>Container_Type</t>
  </si>
  <si>
    <t>DepreciateFlag</t>
  </si>
  <si>
    <t>CreatedDate</t>
  </si>
  <si>
    <t>LastUpdateDate</t>
  </si>
  <si>
    <t>Default Month:</t>
  </si>
  <si>
    <t>Default Year:</t>
  </si>
  <si>
    <t>Last Pulled:</t>
  </si>
  <si>
    <t>Assets:</t>
  </si>
  <si>
    <t xml:space="preserve">Period: </t>
  </si>
  <si>
    <t xml:space="preserve">Asset Type: </t>
  </si>
  <si>
    <t>Capitalized</t>
  </si>
  <si>
    <t xml:space="preserve">VIN: </t>
  </si>
  <si>
    <t xml:space="preserve">Asset Acct: </t>
  </si>
  <si>
    <t xml:space="preserve">In Service Date From: </t>
  </si>
  <si>
    <t xml:space="preserve">District: </t>
  </si>
  <si>
    <t xml:space="preserve">Parent/Child: </t>
  </si>
  <si>
    <t>All</t>
  </si>
  <si>
    <t xml:space="preserve">Description: </t>
  </si>
  <si>
    <t xml:space="preserve">Exp Acct: </t>
  </si>
  <si>
    <t xml:space="preserve">In Service Date To: </t>
  </si>
  <si>
    <t xml:space="preserve">Asset #: </t>
  </si>
  <si>
    <t xml:space="preserve">Include P-Tax: </t>
  </si>
  <si>
    <t xml:space="preserve">PO Number: </t>
  </si>
  <si>
    <t>Dist.</t>
  </si>
  <si>
    <t>Parent
/ Child</t>
  </si>
  <si>
    <t>Bl 1</t>
  </si>
  <si>
    <t>Bl 2</t>
  </si>
  <si>
    <t>Mfg. Serial #</t>
  </si>
  <si>
    <t>Vendor / Mfg.</t>
  </si>
  <si>
    <t>Asset Category (Major)</t>
  </si>
  <si>
    <t>Asset Sub-Category (Minor)</t>
  </si>
  <si>
    <t>Ins. Category</t>
  </si>
  <si>
    <t>Cont. Size</t>
  </si>
  <si>
    <t>Cont. Type</t>
  </si>
  <si>
    <t>Acq. Date</t>
  </si>
  <si>
    <t>Asset Cost</t>
  </si>
  <si>
    <t>Accum. Account</t>
  </si>
  <si>
    <t>Accum. Life to Date</t>
  </si>
  <si>
    <t>Accum. YTD</t>
  </si>
  <si>
    <t>Current Depr.</t>
  </si>
  <si>
    <t>Acq. Type</t>
  </si>
  <si>
    <t>Depr. Meth</t>
  </si>
  <si>
    <t>Depre. Y/N</t>
  </si>
  <si>
    <t>Equipment Type per Field</t>
  </si>
  <si>
    <t>Pressure Washer (Landa 2200 PSI)</t>
  </si>
  <si>
    <t>AMB</t>
  </si>
  <si>
    <t>2149-23-0016-1</t>
  </si>
  <si>
    <t>Decals for Tractors</t>
  </si>
  <si>
    <t>xxxx</t>
  </si>
  <si>
    <t>2149-23-0015-1</t>
  </si>
  <si>
    <t>2024 Peterbilt ASL Truck - Body</t>
  </si>
  <si>
    <t>3BPDLK0X7RF116263</t>
  </si>
  <si>
    <t>PO BOX 13040</t>
  </si>
  <si>
    <t>2149-23-0002-1</t>
  </si>
  <si>
    <t>3BPDLK0X5RF116262</t>
  </si>
  <si>
    <t>2149-23-0001-1</t>
  </si>
  <si>
    <t>2024 Peterbilt ASL Truck</t>
  </si>
  <si>
    <t>2024 Peterbilt 567 Transfer Tractor</t>
  </si>
  <si>
    <t>1XPCP40X6RD678320</t>
  </si>
  <si>
    <t>Transfer Tractor</t>
  </si>
  <si>
    <t>2149-23-0015-2</t>
  </si>
  <si>
    <t>1XPCP40XXRD678319</t>
  </si>
  <si>
    <t>20YD ROL Box</t>
  </si>
  <si>
    <t>5801 THIRD AVENUE SOUTH</t>
  </si>
  <si>
    <t>2149-23-0013-2</t>
  </si>
  <si>
    <t>2149-23-0013-1</t>
  </si>
  <si>
    <t>1NPCX4EX5PD867895</t>
  </si>
  <si>
    <t>2149-23-0003-1</t>
  </si>
  <si>
    <t>2008 Type HT C-C Trailer</t>
  </si>
  <si>
    <t>1H9CC53438T347131</t>
  </si>
  <si>
    <t>HELM</t>
  </si>
  <si>
    <t>Container Chassis</t>
  </si>
  <si>
    <t>1H9CC53438T347135</t>
  </si>
  <si>
    <t>2180-8-0009-1</t>
  </si>
  <si>
    <t>2009 Type HT C-C Trailer</t>
  </si>
  <si>
    <t>1H9CC53498T347135</t>
  </si>
  <si>
    <t>Container Chassis VIN 347135</t>
  </si>
  <si>
    <t>Improvement - Rear Support Bolster</t>
  </si>
  <si>
    <t>CAPITAL INDUSTRIAL SUPPLY</t>
  </si>
  <si>
    <t>2189-15-0008-1</t>
  </si>
  <si>
    <t>Repair Intermodal Trailer Unit #8848</t>
  </si>
  <si>
    <t>2189-15-0007-1</t>
  </si>
  <si>
    <t>MODIFY TRAILER 8845</t>
  </si>
  <si>
    <t>2189-12-0021-1</t>
  </si>
  <si>
    <t>Intermodal Chassis Trailer Improvement #8839</t>
  </si>
  <si>
    <t>2189-12-0017-1</t>
  </si>
  <si>
    <t>Install Crossmember in Trailer 8870</t>
  </si>
  <si>
    <t>2189-12-0015-1</t>
  </si>
  <si>
    <t>Modify Trailer Unit# 8859</t>
  </si>
  <si>
    <t>CAPITAL INDUSTRIES</t>
  </si>
  <si>
    <t>2189-11-0032-1</t>
  </si>
  <si>
    <t>rear bolster installation to trailer 8844</t>
  </si>
  <si>
    <t>2189-11-0028-1</t>
  </si>
  <si>
    <t>rear bolster installation to trailer 8858</t>
  </si>
  <si>
    <t>2189-11-0024-1</t>
  </si>
  <si>
    <t>structural modifications to trailer (8869)</t>
  </si>
  <si>
    <t>2189-11-0023-1</t>
  </si>
  <si>
    <t>Intermodal Chassis Trailer Improvement for Unit# 8865</t>
  </si>
  <si>
    <t>Capital Industrial Inc.</t>
  </si>
  <si>
    <t>2189-11-0016-1</t>
  </si>
  <si>
    <t>1998 Type HT C-C Trailer</t>
  </si>
  <si>
    <t>1D9CS5343WT360032</t>
  </si>
  <si>
    <t>DELTA</t>
  </si>
  <si>
    <t>1H9CC534X8T347130</t>
  </si>
  <si>
    <t>1H9CC53438T347129</t>
  </si>
  <si>
    <t>2001 Type HT C-C Trailer</t>
  </si>
  <si>
    <t>1H9CC53451T347042</t>
  </si>
  <si>
    <t>1999 Type HT C-C Trailer</t>
  </si>
  <si>
    <t>1H9CC534XXT347014</t>
  </si>
  <si>
    <t>1D9CS5344WT360042</t>
  </si>
  <si>
    <t>1994 Type HT C-C Trailer</t>
  </si>
  <si>
    <t>1G9CH5343R1109017</t>
  </si>
  <si>
    <t>WABASH</t>
  </si>
  <si>
    <t>1H9CC53478T347134</t>
  </si>
  <si>
    <t>1H9CC53438T347133</t>
  </si>
  <si>
    <t>2000 Type HT C-C Trailer</t>
  </si>
  <si>
    <t>1H9CC5346YT347030</t>
  </si>
  <si>
    <t>1H9CC5349XT347019</t>
  </si>
  <si>
    <t>1H9CC5348XT347013</t>
  </si>
  <si>
    <t>WA98190620</t>
  </si>
  <si>
    <t>HM</t>
  </si>
  <si>
    <t>1D9CS5348WT360043</t>
  </si>
  <si>
    <t>Delta</t>
  </si>
  <si>
    <t>1G9CH5344R1109026</t>
  </si>
  <si>
    <t>Wabash</t>
  </si>
  <si>
    <t>Flatbed for 2005 Peterbilt 330 CD Truck</t>
  </si>
  <si>
    <t>CD 06751</t>
  </si>
  <si>
    <t>c-1</t>
  </si>
  <si>
    <t>2005 Peterbilt 330 - Flat Bed Cont. Delivery Truck</t>
  </si>
  <si>
    <t>2NPNHZ7X95M849858</t>
  </si>
  <si>
    <t>Peterbilt 330</t>
  </si>
  <si>
    <t>C-1</t>
  </si>
  <si>
    <t>2023 Peterbilt ROL Truck</t>
  </si>
  <si>
    <t>HP USB-C G5 ESSENTIAL DOCK</t>
  </si>
  <si>
    <t>CDW DIR #LN08038</t>
  </si>
  <si>
    <t>2149-23-0014-1</t>
  </si>
  <si>
    <t>48 Gal MSW Carts - Plastic</t>
  </si>
  <si>
    <t>C/O WASTEQUIP LLC</t>
  </si>
  <si>
    <t>2149-23-0011-1</t>
  </si>
  <si>
    <t>2149-23-0012-1</t>
  </si>
  <si>
    <t>Truck5 Container Delivery Engine</t>
  </si>
  <si>
    <t>2149-23-0008-1</t>
  </si>
  <si>
    <t>Truck 37 Engine Transmission Replacement</t>
  </si>
  <si>
    <t>PAPE KENWORTH NW</t>
  </si>
  <si>
    <t>2149-23-0009-1</t>
  </si>
  <si>
    <t>Capital Repair: Container Delivery Engine</t>
  </si>
  <si>
    <t>2XPFDB9X64M813974</t>
  </si>
  <si>
    <t>06-2113-035</t>
  </si>
  <si>
    <t>20 yd Drop Box (U)</t>
  </si>
  <si>
    <t>20YD Containers</t>
  </si>
  <si>
    <t>22 ft Storage Units</t>
  </si>
  <si>
    <t>2 Yard Commercial Container</t>
  </si>
  <si>
    <t>2180-14-0019-1</t>
  </si>
  <si>
    <t>2 Yard Slant Top - LeMay Blue</t>
  </si>
  <si>
    <t>2180-12-0009-1</t>
  </si>
  <si>
    <t>2 Yard Commercial  Containers (plastic)</t>
  </si>
  <si>
    <t>REHRIG PACIFIC COMPANY-LA</t>
  </si>
  <si>
    <t>2180-10-0015-1</t>
  </si>
  <si>
    <t>2181-10-0011-1</t>
  </si>
  <si>
    <t>2181-11-0025-1</t>
  </si>
  <si>
    <t>15 Yard R/O Containers</t>
  </si>
  <si>
    <t>20yd</t>
  </si>
  <si>
    <t>06-2111-009</t>
  </si>
  <si>
    <t>TBD</t>
  </si>
  <si>
    <t>10 YARD RO</t>
  </si>
  <si>
    <t>Sum of Asset Cost</t>
  </si>
  <si>
    <t>Mason Co. Trailers</t>
  </si>
  <si>
    <t>2024-04</t>
  </si>
  <si>
    <t>INDEFINITE LIVED INTANGIBLES</t>
  </si>
  <si>
    <t>STL</t>
  </si>
  <si>
    <t>NON COMPETE</t>
  </si>
  <si>
    <t>YES</t>
  </si>
  <si>
    <t>TRUCKS AND TRAILERS</t>
  </si>
  <si>
    <t>TBA</t>
  </si>
  <si>
    <t>1.5 YD</t>
  </si>
  <si>
    <t>FEL/REL/SL Metal</t>
  </si>
  <si>
    <t>2 YD</t>
  </si>
  <si>
    <t>40 YD</t>
  </si>
  <si>
    <t>RO Box</t>
  </si>
  <si>
    <t>Roll Off Trailer</t>
  </si>
  <si>
    <t>20 YD</t>
  </si>
  <si>
    <t>LONG TERM CONTRACTS</t>
  </si>
  <si>
    <t>HARDWARE AND SOFTWARE</t>
  </si>
  <si>
    <t>BUILDINGS</t>
  </si>
  <si>
    <t>LEASEHOLD IMPROVEMENTS</t>
  </si>
  <si>
    <t>SHOP EQUIPMENT</t>
  </si>
  <si>
    <t>Roll Off</t>
  </si>
  <si>
    <t>(5) 10-12# WF (Steel I Beam) 240 - 1200lbs</t>
  </si>
  <si>
    <t>(36) 12 Ga. HR Sheet / (48) 48x96-5040 lb</t>
  </si>
  <si>
    <t>Z Wall Repair-Fitting; 1/2 Malleable Cable Clamp</t>
  </si>
  <si>
    <t>12 Concrete Saw, Gas; 12 Dry Concrete DMD BL</t>
  </si>
  <si>
    <t>HEAVY EQUIPMENT</t>
  </si>
  <si>
    <t>Rotator Attachhments &amp; 48 Forklifts</t>
  </si>
  <si>
    <t>Rear Loader</t>
  </si>
  <si>
    <t>5 Black/White Camera System for 2005 Int' REL</t>
  </si>
  <si>
    <t>10 YD</t>
  </si>
  <si>
    <t>OFFICE EQUIPMENT</t>
  </si>
  <si>
    <t>Pickup Truck</t>
  </si>
  <si>
    <t>Automated Side Loader</t>
  </si>
  <si>
    <t>FEL/REL/SL Plastic</t>
  </si>
  <si>
    <t>Compactor</t>
  </si>
  <si>
    <t>Other Trailer</t>
  </si>
  <si>
    <t>1 YD</t>
  </si>
  <si>
    <t>Final installment payment for Truck Wash Building</t>
  </si>
  <si>
    <t>20 Yd Blue Ro Boxes W/10X41 Recycle Windows</t>
  </si>
  <si>
    <t>20 Yd Blue Ro Boxes W/10X17 Recycle Windows</t>
  </si>
  <si>
    <t>LAND IMPROVEMENTS</t>
  </si>
  <si>
    <t>30 YD</t>
  </si>
  <si>
    <t>22 YD</t>
  </si>
  <si>
    <t>Storage Container</t>
  </si>
  <si>
    <t>Hooklift</t>
  </si>
  <si>
    <t>15 YD</t>
  </si>
  <si>
    <t>HP PROBOOK 450 G9 15.6</t>
  </si>
  <si>
    <t>1.5YD</t>
  </si>
  <si>
    <t>Radio System</t>
  </si>
  <si>
    <t>Licensing for 2024 Peterbilt</t>
  </si>
  <si>
    <t>1XPCP40X8RD678321</t>
  </si>
  <si>
    <t>TRANSFER TRACTOR</t>
  </si>
  <si>
    <t>2149-24-0009-1</t>
  </si>
  <si>
    <t>Licensing - Transfer Tractor</t>
  </si>
  <si>
    <t>2025 Peterbilt 567 Transfer Tractor</t>
  </si>
  <si>
    <t>1XPCPP0X3SD698788</t>
  </si>
  <si>
    <t>ROAD TRACTOR</t>
  </si>
  <si>
    <t>2149-24-0010-1</t>
  </si>
  <si>
    <t>1XPCP40XXRD678322</t>
  </si>
  <si>
    <t>2149-24-0010-2</t>
  </si>
  <si>
    <t>95 Gal Carts</t>
  </si>
  <si>
    <t>CARTS PLASTIC</t>
  </si>
  <si>
    <t>95 Gal</t>
  </si>
  <si>
    <t>Carts/Toters</t>
  </si>
  <si>
    <t>2149-24-0012-1</t>
  </si>
  <si>
    <t>65 Gal Carts</t>
  </si>
  <si>
    <t>65 Gal</t>
  </si>
  <si>
    <t>Live Pivot 4.2024</t>
  </si>
  <si>
    <t>Column Definitions</t>
  </si>
  <si>
    <t>TruckRequest#</t>
  </si>
  <si>
    <t>PONum_Modified</t>
  </si>
  <si>
    <t>CurrentProjectNumber_FPS</t>
  </si>
  <si>
    <t>ProjectNumber_FPS</t>
  </si>
  <si>
    <t>DeleteFlag</t>
  </si>
  <si>
    <t>PoNumber</t>
  </si>
  <si>
    <t>PoItemNumber</t>
  </si>
  <si>
    <t>ProjectName_FPS</t>
  </si>
  <si>
    <t>ItemDescription</t>
  </si>
  <si>
    <t>Explanation</t>
  </si>
  <si>
    <t>AssetSubType</t>
  </si>
  <si>
    <t>Life</t>
  </si>
  <si>
    <t>AddReplace</t>
  </si>
  <si>
    <t>Condition</t>
  </si>
  <si>
    <t>TruckCenterNum ValueList:RequestedTruckList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</si>
  <si>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</si>
  <si>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</si>
  <si>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</si>
  <si>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</si>
  <si>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</si>
  <si>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</si>
  <si>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</si>
  <si>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</si>
  <si>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</si>
  <si>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</si>
  <si>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</si>
  <si>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</si>
  <si>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FASNum</t>
  </si>
  <si>
    <t>ReplacementNotes</t>
  </si>
  <si>
    <t>EquipmentNum</t>
  </si>
  <si>
    <t>EquipmentModelYear</t>
  </si>
  <si>
    <t>FileLink hlink:FileLink</t>
  </si>
  <si>
    <t>MessageToUser</t>
  </si>
  <si>
    <t>Formatting Range</t>
  </si>
  <si>
    <t>Report Formulas</t>
  </si>
  <si>
    <t>Pull</t>
  </si>
  <si>
    <t>Clear Hash:</t>
  </si>
  <si>
    <t>CC Query Drill:</t>
  </si>
  <si>
    <t>Pull AssetTypeList:</t>
  </si>
  <si>
    <t>Pull - BudCap:</t>
  </si>
  <si>
    <t>FASDescription</t>
  </si>
  <si>
    <t>Pull - FAS:</t>
  </si>
  <si>
    <t>Save</t>
  </si>
  <si>
    <t>Save:</t>
  </si>
  <si>
    <t>Hidden Parameters &amp; Notes</t>
  </si>
  <si>
    <t>Repull?:</t>
  </si>
  <si>
    <t>FilterHash:</t>
  </si>
  <si>
    <t>CC Query Summary Level:</t>
  </si>
  <si>
    <t>By Change</t>
  </si>
  <si>
    <t>Exclude Items:</t>
  </si>
  <si>
    <t>Pull Blank Rows:</t>
  </si>
  <si>
    <t>Yes</t>
  </si>
  <si>
    <t>For Drill</t>
  </si>
  <si>
    <t>Report Area Below</t>
  </si>
  <si>
    <t>Budget Year:</t>
  </si>
  <si>
    <t>CAPITAL DETAIL</t>
  </si>
  <si>
    <t>Replacement Info</t>
  </si>
  <si>
    <t>Suggested</t>
  </si>
  <si>
    <t>New / Used</t>
  </si>
  <si>
    <t>Truck Type</t>
  </si>
  <si>
    <t>Truck Cost</t>
  </si>
  <si>
    <t>Delete on Save</t>
  </si>
  <si>
    <t>PO #</t>
  </si>
  <si>
    <t>PO Description (Required)</t>
  </si>
  <si>
    <t>PO Item Description</t>
  </si>
  <si>
    <t>PO Explanation</t>
  </si>
  <si>
    <t>SubType</t>
  </si>
  <si>
    <t>A / R</t>
  </si>
  <si>
    <t>N / U</t>
  </si>
  <si>
    <t>FAS #</t>
  </si>
  <si>
    <t>FAS Description</t>
  </si>
  <si>
    <t>Replacement Notes</t>
  </si>
  <si>
    <t>Site Eq #</t>
  </si>
  <si>
    <t>Folder/File Link</t>
  </si>
  <si>
    <t>Save Message</t>
  </si>
  <si>
    <t>PO Description</t>
  </si>
  <si>
    <t>Note</t>
  </si>
  <si>
    <r>
      <t>Note</t>
    </r>
    <r>
      <rPr>
        <sz val="11"/>
        <color theme="9"/>
        <rFont val="Calibri"/>
        <family val="2"/>
        <scheme val="minor"/>
      </rPr>
      <t>*</t>
    </r>
  </si>
  <si>
    <t>PO Center</t>
  </si>
  <si>
    <t>Variance</t>
  </si>
  <si>
    <t>0001-1</t>
  </si>
  <si>
    <t>New Trucks</t>
  </si>
  <si>
    <t>Automated</t>
  </si>
  <si>
    <t>N</t>
  </si>
  <si>
    <t>0002-1</t>
  </si>
  <si>
    <t>0003-1</t>
  </si>
  <si>
    <t>0005-1</t>
  </si>
  <si>
    <t>Containers Various</t>
  </si>
  <si>
    <t>Toter – Plastic</t>
  </si>
  <si>
    <t/>
  </si>
  <si>
    <t>End of List (save and re-pull for at least 5 more rows)</t>
  </si>
  <si>
    <t>TOTAL CAPITAL</t>
  </si>
  <si>
    <t>Test Year Depr</t>
  </si>
  <si>
    <t>Beginning Accum Depr</t>
  </si>
  <si>
    <t>Ending Accum Depr</t>
  </si>
  <si>
    <t>BusinessUnitCode</t>
  </si>
  <si>
    <t>DB3518CE0B671F47307F1025061DC7</t>
  </si>
  <si>
    <t>Dist / Div / Reg:</t>
  </si>
  <si>
    <t>IMPORTANT:  Pull your district(s) BEFORE inputting.  This will auto create new lines for you and prepare the page for input.</t>
  </si>
  <si>
    <t>Recon Check Against Garage</t>
  </si>
  <si>
    <t>Item #</t>
  </si>
  <si>
    <t>Garage</t>
  </si>
  <si>
    <t>Garage $</t>
  </si>
  <si>
    <t>Prior PO</t>
  </si>
  <si>
    <t>Prior PO $</t>
  </si>
  <si>
    <t>Average spend last 3 years: $226k - last 5 years: $260k</t>
  </si>
  <si>
    <t xml:space="preserve">New ASL Peterbilt/Labrie 28yd </t>
  </si>
  <si>
    <t>Replacing 2008 Peterbilt (#16) which can be transferred to another site. Avg ASL age is 6.5 years.</t>
  </si>
  <si>
    <t>Replacing 2009 Peterbilt (#29) which can be transferred to another site. Avg ASL age is 6.5 years.</t>
  </si>
  <si>
    <t>0004-1</t>
  </si>
  <si>
    <t xml:space="preserve">24 Pre Order - New REL Peterbilt/McNeilus 32yd </t>
  </si>
  <si>
    <t xml:space="preserve">New REL Peterbilt/McNeilus 32yd </t>
  </si>
  <si>
    <t>Replacing 2009 International REL (#35) which can be transferred to another site. Avg REL age is 8.25 years. New truck will be a 3 axle w/ 25yd box, compared to old truck listed as 2 axle w/ 20yd box. Increase in capacity needed as routes are getting too big to run in small truck. Will run commercial cardboard.</t>
  </si>
  <si>
    <t>Rear Load</t>
  </si>
  <si>
    <t xml:space="preserve">Chassis Only (2024) New REL Peterbilt/McNeilus 32yd </t>
  </si>
  <si>
    <t>Replacing 2007 International REL (#36) which can be transferred to another site or converted into a cart delivery truck. Avg REL age is 8.25 years. New truck to be a 3 axle w/ 25yd box, compared to old truck listed as 2 axle w/ 20yd box.  Increase in capacity needed as routes are getting too big to run in small truck. Will run commercial garbage.</t>
  </si>
  <si>
    <t>0008-1</t>
  </si>
  <si>
    <t>Used Backhoe</t>
  </si>
  <si>
    <t xml:space="preserve">Replacing used 1999 Case 580 L II Backhoe. Used to load walking floor trailers with recycling. Avg spend in maintenance and major repairs last 3 years is $6,166/year. Currently, integral parts (Boom, Boom Pivot, and Main Spool Valve) are very worn, costs to repair to extend life of machine is costly. Total hours are 7,562. </t>
  </si>
  <si>
    <t>Heavy Equipment Non-E&amp;P</t>
  </si>
  <si>
    <t>U</t>
  </si>
  <si>
    <t>Replacing used 1999 Case 580 L II Backhoe. Total hours are 7562</t>
  </si>
  <si>
    <t>9/13/2024</t>
  </si>
  <si>
    <t>11/1/2024</t>
  </si>
  <si>
    <t>12/1/2024</t>
  </si>
  <si>
    <t>8/1/2024</t>
  </si>
  <si>
    <t>5/29/2024</t>
  </si>
  <si>
    <t>Transferred/Retired in 2024</t>
  </si>
  <si>
    <t>Leasholder Improvements</t>
  </si>
  <si>
    <t>Expected Date</t>
  </si>
  <si>
    <t>Included in Additional Depr tab</t>
  </si>
  <si>
    <t>Needs to be included</t>
  </si>
  <si>
    <t>TF Truck (Contract)</t>
  </si>
  <si>
    <t xml:space="preserve">Hard coded figures multiplied by 1.085 from PY rate case. Appears to be an ACT allocation based on PO Review. Current figure, $31,951.07, from current year rate case and district allocation (all shared POs at 50%). </t>
  </si>
  <si>
    <t>Mechanic Truck</t>
  </si>
  <si>
    <t>Carport for service equipment</t>
  </si>
  <si>
    <t>Concrete pad</t>
  </si>
  <si>
    <t>Arrived</t>
  </si>
  <si>
    <t>Work done - invoices on file</t>
  </si>
  <si>
    <t>Property Clearing</t>
  </si>
  <si>
    <t>Fence</t>
  </si>
  <si>
    <t>Recycling Loader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</si>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</sst>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[$-409]mmmm\ d\,\ yyyy;@"/>
    <numFmt numFmtId="167" formatCode="mm/dd/yy"/>
    <numFmt numFmtId="168" formatCode="m/d/yy"/>
    <numFmt numFmtId="169" formatCode="#,##0.000"/>
    <numFmt numFmtId="170" formatCode="0.0%"/>
    <numFmt numFmtId="171" formatCode="0.0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_(&quot;$&quot;* #,##0_);_(&quot;$&quot;* \(#,##0\);_(&quot;$&quot;* &quot;-&quot;??_);_(@_)"/>
    <numFmt numFmtId="176" formatCode="mm/dd/yy;@"/>
    <numFmt numFmtId="177" formatCode="000#"/>
    <numFmt numFmtId="178" formatCode="0_);\(0\)"/>
    <numFmt numFmtId="179" formatCode="mmm"/>
    <numFmt numFmtId="180" formatCode="0000\-00\-0000\-0"/>
    <numFmt numFmtId="181" formatCode="_(* #,##0,_);_(* \(#,##0,\);_(* &quot;-&quot;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8.8000000000000007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color indexed="8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51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u/>
      <sz val="11"/>
      <color indexed="12"/>
      <name val="Arial"/>
      <family val="2"/>
    </font>
    <font>
      <b/>
      <sz val="14"/>
      <name val="Helv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Arial Black"/>
      <family val="2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4" tint="-0.499984740745262"/>
      <name val="Arial"/>
      <family val="2"/>
    </font>
    <font>
      <sz val="10"/>
      <color rgb="FF00B050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 tint="0.499984740745262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sz val="10"/>
      <color indexed="62"/>
      <name val="Arial"/>
      <family val="2"/>
    </font>
    <font>
      <sz val="11"/>
      <color theme="9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sz val="10"/>
      <color theme="4" tint="-0.499984740745262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FBB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02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7" fillId="0" borderId="0"/>
    <xf numFmtId="0" fontId="8" fillId="11" borderId="0" applyNumberFormat="0" applyBorder="0" applyAlignment="0" applyProtection="0"/>
    <xf numFmtId="3" fontId="7" fillId="0" borderId="0"/>
    <xf numFmtId="0" fontId="9" fillId="12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0"/>
    <xf numFmtId="0" fontId="11" fillId="0" borderId="0"/>
    <xf numFmtId="0" fontId="11" fillId="0" borderId="0"/>
    <xf numFmtId="0" fontId="12" fillId="13" borderId="2" applyAlignment="0">
      <alignment horizontal="right"/>
      <protection locked="0"/>
    </xf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14" borderId="0">
      <alignment horizontal="right"/>
      <protection locked="0"/>
    </xf>
    <xf numFmtId="2" fontId="15" fillId="14" borderId="0">
      <alignment horizontal="right"/>
      <protection locked="0"/>
    </xf>
    <xf numFmtId="0" fontId="16" fillId="1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3" fontId="22" fillId="16" borderId="0">
      <protection locked="0"/>
    </xf>
    <xf numFmtId="4" fontId="22" fillId="16" borderId="0">
      <protection locked="0"/>
    </xf>
    <xf numFmtId="0" fontId="23" fillId="0" borderId="6" applyNumberFormat="0" applyFill="0" applyAlignment="0" applyProtection="0"/>
    <xf numFmtId="0" fontId="24" fillId="5" borderId="0" applyNumberFormat="0" applyBorder="0" applyAlignment="0" applyProtection="0"/>
    <xf numFmtId="4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7" borderId="7" applyNumberFormat="0" applyFont="0" applyAlignment="0" applyProtection="0"/>
    <xf numFmtId="170" fontId="25" fillId="0" borderId="0" applyNumberForma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8">
      <alignment horizontal="center"/>
    </xf>
    <xf numFmtId="0" fontId="10" fillId="0" borderId="0">
      <alignment vertical="top"/>
    </xf>
    <xf numFmtId="0" fontId="10" fillId="0" borderId="0" applyNumberFormat="0" applyBorder="0" applyAlignment="0"/>
    <xf numFmtId="0" fontId="28" fillId="0" borderId="9" applyNumberFormat="0" applyFill="0" applyAlignment="0" applyProtection="0"/>
    <xf numFmtId="43" fontId="1" fillId="0" borderId="0" applyFont="0" applyFill="0" applyBorder="0" applyAlignment="0" applyProtection="0"/>
    <xf numFmtId="0" fontId="7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3" fillId="26" borderId="11" applyNumberFormat="0" applyAlignment="0" applyProtection="0"/>
    <xf numFmtId="0" fontId="43" fillId="26" borderId="1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1" applyNumberFormat="0" applyAlignment="0" applyProtection="0"/>
    <xf numFmtId="0" fontId="46" fillId="5" borderId="1" applyNumberFormat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17" borderId="7" applyNumberFormat="0" applyFont="0" applyAlignment="0" applyProtection="0"/>
    <xf numFmtId="0" fontId="2" fillId="17" borderId="7" applyNumberFormat="0" applyFon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10" fillId="0" borderId="0" applyNumberFormat="0" applyBorder="0" applyAlignment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28" borderId="0" applyNumberFormat="0" applyBorder="0" applyAlignment="0" applyProtection="0"/>
    <xf numFmtId="0" fontId="58" fillId="29" borderId="0" applyNumberFormat="0" applyBorder="0" applyAlignment="0" applyProtection="0"/>
    <xf numFmtId="0" fontId="59" fillId="30" borderId="0" applyNumberFormat="0" applyBorder="0" applyAlignment="0" applyProtection="0"/>
    <xf numFmtId="0" fontId="60" fillId="31" borderId="21" applyNumberFormat="0" applyAlignment="0" applyProtection="0"/>
    <xf numFmtId="0" fontId="61" fillId="32" borderId="21" applyNumberFormat="0" applyAlignment="0" applyProtection="0"/>
    <xf numFmtId="0" fontId="62" fillId="0" borderId="22" applyNumberFormat="0" applyFill="0" applyAlignment="0" applyProtection="0"/>
    <xf numFmtId="0" fontId="63" fillId="33" borderId="23" applyNumberFormat="0" applyAlignment="0" applyProtection="0"/>
    <xf numFmtId="0" fontId="64" fillId="0" borderId="0" applyNumberFormat="0" applyFill="0" applyBorder="0" applyAlignment="0" applyProtection="0"/>
    <xf numFmtId="0" fontId="65" fillId="34" borderId="0" applyNumberFormat="0" applyBorder="0" applyAlignment="0" applyProtection="0"/>
    <xf numFmtId="0" fontId="1" fillId="36" borderId="0" applyNumberFormat="0" applyBorder="0" applyAlignment="0" applyProtection="0"/>
    <xf numFmtId="0" fontId="65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1" fillId="48" borderId="0" applyNumberFormat="0" applyBorder="0" applyAlignment="0" applyProtection="0"/>
    <xf numFmtId="0" fontId="6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4" borderId="0" applyNumberFormat="0" applyBorder="0" applyAlignment="0" applyProtection="0"/>
    <xf numFmtId="0" fontId="1" fillId="35" borderId="0" applyNumberFormat="0" applyBorder="0" applyAlignment="0" applyProtection="0"/>
    <xf numFmtId="0" fontId="3" fillId="58" borderId="0" applyNumberFormat="0" applyBorder="0" applyAlignment="0" applyProtection="0"/>
    <xf numFmtId="0" fontId="3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3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20" borderId="0" applyNumberFormat="0" applyBorder="0" applyAlignment="0" applyProtection="0"/>
    <xf numFmtId="0" fontId="1" fillId="47" borderId="0" applyNumberFormat="0" applyBorder="0" applyAlignment="0" applyProtection="0"/>
    <xf numFmtId="0" fontId="3" fillId="2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3" borderId="0" applyNumberFormat="0" applyBorder="0" applyAlignment="0" applyProtection="0"/>
    <xf numFmtId="0" fontId="3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" fillId="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9" borderId="0" applyNumberFormat="0" applyBorder="0" applyAlignment="0" applyProtection="0"/>
    <xf numFmtId="0" fontId="3" fillId="5" borderId="0" applyNumberFormat="0" applyBorder="0" applyAlignment="0" applyProtection="0"/>
    <xf numFmtId="0" fontId="3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3" fillId="59" borderId="0" applyNumberFormat="0" applyBorder="0" applyAlignment="0" applyProtection="0"/>
    <xf numFmtId="0" fontId="2" fillId="0" borderId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1" borderId="0" applyNumberFormat="0" applyBorder="0" applyAlignment="0" applyProtection="0"/>
    <xf numFmtId="0" fontId="6" fillId="21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5" fillId="3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5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2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22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11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1" borderId="0" applyNumberFormat="0" applyBorder="0" applyAlignment="0" applyProtection="0"/>
    <xf numFmtId="0" fontId="6" fillId="21" borderId="0" applyNumberFormat="0" applyBorder="0" applyAlignment="0" applyProtection="0"/>
    <xf numFmtId="0" fontId="6" fillId="6" borderId="0" applyNumberFormat="0" applyBorder="0" applyAlignment="0" applyProtection="0"/>
    <xf numFmtId="0" fontId="6" fillId="21" borderId="0" applyNumberFormat="0" applyBorder="0" applyAlignment="0" applyProtection="0"/>
    <xf numFmtId="0" fontId="65" fillId="53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63" borderId="0" applyNumberFormat="0" applyBorder="0" applyAlignment="0" applyProtection="0"/>
    <xf numFmtId="0" fontId="6" fillId="7" borderId="0" applyNumberFormat="0" applyBorder="0" applyAlignment="0" applyProtection="0"/>
    <xf numFmtId="0" fontId="65" fillId="5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1" borderId="0" applyNumberFormat="0" applyBorder="0" applyAlignment="0" applyProtection="0"/>
    <xf numFmtId="0" fontId="6" fillId="23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5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5" fillId="38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5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2" borderId="0" applyNumberFormat="0" applyBorder="0" applyAlignment="0" applyProtection="0"/>
    <xf numFmtId="0" fontId="6" fillId="24" borderId="0" applyNumberFormat="0" applyBorder="0" applyAlignment="0" applyProtection="0"/>
    <xf numFmtId="0" fontId="65" fillId="46" borderId="0" applyNumberFormat="0" applyBorder="0" applyAlignment="0" applyProtection="0"/>
    <xf numFmtId="0" fontId="6" fillId="61" borderId="0" applyNumberFormat="0" applyBorder="0" applyAlignment="0" applyProtection="0"/>
    <xf numFmtId="0" fontId="65" fillId="50" borderId="0" applyNumberFormat="0" applyBorder="0" applyAlignment="0" applyProtection="0"/>
    <xf numFmtId="0" fontId="6" fillId="6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1" borderId="0" applyNumberFormat="0" applyBorder="0" applyAlignment="0" applyProtection="0"/>
    <xf numFmtId="0" fontId="65" fillId="50" borderId="0" applyNumberFormat="0" applyBorder="0" applyAlignment="0" applyProtection="0"/>
    <xf numFmtId="0" fontId="6" fillId="10" borderId="0" applyNumberFormat="0" applyBorder="0" applyAlignment="0" applyProtection="0"/>
    <xf numFmtId="0" fontId="6" fillId="6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5" fillId="54" borderId="0" applyNumberFormat="0" applyBorder="0" applyAlignment="0" applyProtection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1" fontId="7" fillId="0" borderId="0"/>
    <xf numFmtId="49" fontId="75" fillId="0" borderId="0" applyFill="0" applyBorder="0" applyAlignment="0" applyProtection="0"/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58" fillId="29" borderId="0" applyNumberFormat="0" applyBorder="0" applyAlignment="0" applyProtection="0"/>
    <xf numFmtId="3" fontId="7" fillId="0" borderId="0"/>
    <xf numFmtId="3" fontId="7" fillId="0" borderId="0"/>
    <xf numFmtId="3" fontId="7" fillId="0" borderId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76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12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42" fillId="12" borderId="1" applyNumberFormat="0" applyAlignment="0" applyProtection="0"/>
    <xf numFmtId="0" fontId="61" fillId="32" borderId="2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2" fillId="12" borderId="1" applyNumberFormat="0" applyAlignment="0" applyProtection="0"/>
    <xf numFmtId="0" fontId="43" fillId="65" borderId="25" applyNumberFormat="0" applyAlignment="0" applyProtection="0"/>
    <xf numFmtId="0" fontId="43" fillId="65" borderId="25" applyNumberFormat="0" applyAlignment="0" applyProtection="0"/>
    <xf numFmtId="0" fontId="43" fillId="65" borderId="25" applyNumberFormat="0" applyAlignment="0" applyProtection="0"/>
    <xf numFmtId="0" fontId="43" fillId="26" borderId="11" applyNumberFormat="0" applyAlignment="0" applyProtection="0"/>
    <xf numFmtId="0" fontId="43" fillId="65" borderId="25" applyNumberFormat="0" applyAlignment="0" applyProtection="0"/>
    <xf numFmtId="0" fontId="63" fillId="33" borderId="23" applyNumberFormat="0" applyAlignment="0" applyProtection="0"/>
    <xf numFmtId="0" fontId="77" fillId="66" borderId="0" applyNumberFormat="0" applyBorder="0" applyAlignment="0" applyProtection="0">
      <alignment horizontal="center"/>
      <protection hidden="1"/>
    </xf>
    <xf numFmtId="0" fontId="7" fillId="67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3" fillId="68" borderId="0">
      <alignment horizontal="left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4" fontId="7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7" fillId="0" borderId="0"/>
    <xf numFmtId="1" fontId="7" fillId="0" borderId="0">
      <alignment horizontal="center"/>
    </xf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7" fillId="28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80" fillId="0" borderId="28" applyNumberFormat="0" applyFill="0" applyAlignment="0" applyProtection="0"/>
    <xf numFmtId="0" fontId="17" fillId="0" borderId="12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54" fillId="0" borderId="18" applyNumberFormat="0" applyFill="0" applyAlignment="0" applyProtection="0"/>
    <xf numFmtId="0" fontId="18" fillId="0" borderId="4" applyNumberFormat="0" applyFill="0" applyAlignment="0" applyProtection="0"/>
    <xf numFmtId="0" fontId="81" fillId="0" borderId="4" applyNumberFormat="0" applyFill="0" applyAlignment="0" applyProtection="0"/>
    <xf numFmtId="0" fontId="18" fillId="0" borderId="13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55" fillId="0" borderId="1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71" fillId="0" borderId="30" applyNumberFormat="0" applyFill="0" applyAlignment="0" applyProtection="0"/>
    <xf numFmtId="0" fontId="19" fillId="0" borderId="14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56" fillId="0" borderId="20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2" fillId="5" borderId="1" applyNumberFormat="0" applyAlignment="0" applyProtection="0"/>
    <xf numFmtId="0" fontId="72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72" fillId="5" borderId="1" applyNumberFormat="0" applyAlignment="0" applyProtection="0"/>
    <xf numFmtId="0" fontId="46" fillId="20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5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60" fillId="31" borderId="21" applyNumberFormat="0" applyAlignment="0" applyProtection="0"/>
    <xf numFmtId="0" fontId="74" fillId="0" borderId="24" applyBorder="0">
      <alignment horizontal="center" vertical="center" wrapText="1"/>
    </xf>
    <xf numFmtId="0" fontId="86" fillId="69" borderId="26"/>
    <xf numFmtId="0" fontId="86" fillId="69" borderId="26"/>
    <xf numFmtId="0" fontId="86" fillId="69" borderId="26"/>
    <xf numFmtId="0" fontId="86" fillId="69" borderId="26"/>
    <xf numFmtId="0" fontId="86" fillId="69" borderId="26"/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74" fillId="0" borderId="24" applyBorder="0">
      <alignment horizontal="center" vertical="center" wrapText="1"/>
    </xf>
    <xf numFmtId="0" fontId="23" fillId="0" borderId="6" applyNumberFormat="0" applyFill="0" applyAlignment="0" applyProtection="0"/>
    <xf numFmtId="0" fontId="83" fillId="0" borderId="31" applyNumberFormat="0" applyFill="0" applyAlignment="0" applyProtection="0"/>
    <xf numFmtId="0" fontId="47" fillId="0" borderId="15" applyNumberFormat="0" applyFill="0" applyAlignment="0" applyProtection="0"/>
    <xf numFmtId="0" fontId="23" fillId="0" borderId="6" applyNumberFormat="0" applyFill="0" applyAlignment="0" applyProtection="0"/>
    <xf numFmtId="0" fontId="47" fillId="0" borderId="15" applyNumberFormat="0" applyFill="0" applyAlignment="0" applyProtection="0"/>
    <xf numFmtId="0" fontId="62" fillId="0" borderId="22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4" fillId="5" borderId="0" applyNumberFormat="0" applyBorder="0" applyAlignment="0" applyProtection="0"/>
    <xf numFmtId="0" fontId="48" fillId="5" borderId="0" applyNumberFormat="0" applyBorder="0" applyAlignment="0" applyProtection="0"/>
    <xf numFmtId="0" fontId="24" fillId="5" borderId="0" applyNumberFormat="0" applyBorder="0" applyAlignment="0" applyProtection="0"/>
    <xf numFmtId="0" fontId="48" fillId="5" borderId="0" applyNumberFormat="0" applyBorder="0" applyAlignment="0" applyProtection="0"/>
    <xf numFmtId="0" fontId="59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456">
    <xf numFmtId="0" fontId="0" fillId="0" borderId="0" xfId="0"/>
    <xf numFmtId="166" fontId="31" fillId="0" borderId="0" xfId="1" applyNumberFormat="1" applyFont="1" applyFill="1" applyBorder="1" applyAlignment="1">
      <alignment horizontal="left"/>
    </xf>
    <xf numFmtId="3" fontId="29" fillId="0" borderId="0" xfId="1" applyNumberFormat="1" applyFont="1" applyFill="1" applyBorder="1" applyAlignment="1" applyProtection="1">
      <alignment horizontal="right"/>
    </xf>
    <xf numFmtId="0" fontId="40" fillId="0" borderId="0" xfId="0" applyFont="1"/>
    <xf numFmtId="0" fontId="39" fillId="0" borderId="0" xfId="0" applyFont="1"/>
    <xf numFmtId="43" fontId="30" fillId="0" borderId="0" xfId="1" applyFont="1" applyFill="1" applyBorder="1"/>
    <xf numFmtId="43" fontId="35" fillId="0" borderId="0" xfId="1" applyFont="1" applyFill="1" applyBorder="1"/>
    <xf numFmtId="43" fontId="31" fillId="0" borderId="10" xfId="1" applyFont="1" applyFill="1" applyBorder="1" applyProtection="1"/>
    <xf numFmtId="43" fontId="31" fillId="0" borderId="10" xfId="1" applyFont="1" applyFill="1" applyBorder="1"/>
    <xf numFmtId="43" fontId="31" fillId="0" borderId="0" xfId="1" applyFont="1" applyFill="1" applyBorder="1"/>
    <xf numFmtId="43" fontId="31" fillId="0" borderId="10" xfId="1" applyFont="1" applyFill="1" applyBorder="1" applyAlignment="1">
      <alignment horizontal="right"/>
    </xf>
    <xf numFmtId="43" fontId="29" fillId="0" borderId="0" xfId="1" applyFont="1" applyFill="1" applyBorder="1"/>
    <xf numFmtId="43" fontId="31" fillId="0" borderId="0" xfId="1" applyFont="1" applyFill="1" applyBorder="1" applyAlignment="1">
      <alignment horizontal="right"/>
    </xf>
    <xf numFmtId="43" fontId="94" fillId="0" borderId="0" xfId="2" applyNumberFormat="1" applyFont="1"/>
    <xf numFmtId="43" fontId="94" fillId="0" borderId="0" xfId="1" applyFont="1" applyFill="1" applyBorder="1"/>
    <xf numFmtId="0" fontId="94" fillId="0" borderId="0" xfId="2" applyFont="1"/>
    <xf numFmtId="0" fontId="93" fillId="0" borderId="0" xfId="2" applyFont="1"/>
    <xf numFmtId="3" fontId="94" fillId="0" borderId="0" xfId="1" applyNumberFormat="1" applyFont="1" applyFill="1" applyBorder="1" applyAlignment="1" applyProtection="1">
      <alignment horizontal="right"/>
    </xf>
    <xf numFmtId="165" fontId="93" fillId="0" borderId="10" xfId="1" applyNumberFormat="1" applyFont="1" applyFill="1" applyBorder="1" applyAlignment="1">
      <alignment horizontal="right"/>
    </xf>
    <xf numFmtId="165" fontId="94" fillId="0" borderId="0" xfId="1" applyNumberFormat="1" applyFont="1" applyFill="1" applyBorder="1" applyAlignment="1">
      <alignment horizontal="right"/>
    </xf>
    <xf numFmtId="165" fontId="94" fillId="0" borderId="0" xfId="1" applyNumberFormat="1" applyFont="1" applyFill="1" applyBorder="1"/>
    <xf numFmtId="171" fontId="94" fillId="0" borderId="0" xfId="1" applyNumberFormat="1" applyFont="1" applyFill="1" applyBorder="1"/>
    <xf numFmtId="0" fontId="93" fillId="0" borderId="0" xfId="2" applyFont="1" applyAlignment="1">
      <alignment horizontal="center"/>
    </xf>
    <xf numFmtId="9" fontId="94" fillId="0" borderId="0" xfId="9017" applyFont="1" applyFill="1" applyBorder="1" applyAlignment="1">
      <alignment horizontal="center"/>
    </xf>
    <xf numFmtId="165" fontId="94" fillId="0" borderId="0" xfId="1" applyNumberFormat="1" applyFont="1" applyFill="1" applyBorder="1" applyProtection="1"/>
    <xf numFmtId="43" fontId="40" fillId="0" borderId="0" xfId="122" applyFont="1" applyFill="1"/>
    <xf numFmtId="165" fontId="93" fillId="0" borderId="10" xfId="1" applyNumberFormat="1" applyFont="1" applyFill="1" applyBorder="1" applyProtection="1"/>
    <xf numFmtId="165" fontId="93" fillId="0" borderId="10" xfId="1" applyNumberFormat="1" applyFont="1" applyFill="1" applyBorder="1"/>
    <xf numFmtId="165" fontId="93" fillId="0" borderId="0" xfId="1" applyNumberFormat="1" applyFont="1" applyFill="1" applyBorder="1" applyAlignment="1">
      <alignment horizontal="right"/>
    </xf>
    <xf numFmtId="0" fontId="99" fillId="27" borderId="33" xfId="2" applyFont="1" applyFill="1" applyBorder="1"/>
    <xf numFmtId="0" fontId="99" fillId="27" borderId="33" xfId="2" applyFont="1" applyFill="1" applyBorder="1" applyAlignment="1">
      <alignment horizontal="center"/>
    </xf>
    <xf numFmtId="0" fontId="99" fillId="27" borderId="34" xfId="2" applyFont="1" applyFill="1" applyBorder="1" applyAlignment="1">
      <alignment horizontal="center"/>
    </xf>
    <xf numFmtId="0" fontId="94" fillId="27" borderId="35" xfId="2" applyFont="1" applyFill="1" applyBorder="1"/>
    <xf numFmtId="165" fontId="94" fillId="0" borderId="0" xfId="1" applyNumberFormat="1" applyFont="1" applyBorder="1"/>
    <xf numFmtId="165" fontId="93" fillId="0" borderId="10" xfId="1" applyNumberFormat="1" applyFont="1" applyBorder="1"/>
    <xf numFmtId="0" fontId="99" fillId="27" borderId="32" xfId="2" applyFont="1" applyFill="1" applyBorder="1" applyAlignment="1">
      <alignment horizontal="center"/>
    </xf>
    <xf numFmtId="0" fontId="99" fillId="0" borderId="0" xfId="2" applyFont="1" applyAlignment="1">
      <alignment horizontal="center"/>
    </xf>
    <xf numFmtId="165" fontId="93" fillId="0" borderId="0" xfId="1" applyNumberFormat="1" applyFont="1" applyBorder="1"/>
    <xf numFmtId="165" fontId="93" fillId="0" borderId="36" xfId="1" applyNumberFormat="1" applyFont="1" applyBorder="1"/>
    <xf numFmtId="165" fontId="94" fillId="0" borderId="0" xfId="2" applyNumberFormat="1" applyFont="1"/>
    <xf numFmtId="3" fontId="101" fillId="0" borderId="0" xfId="2" applyNumberFormat="1" applyFont="1"/>
    <xf numFmtId="0" fontId="101" fillId="0" borderId="0" xfId="2" applyFont="1"/>
    <xf numFmtId="10" fontId="101" fillId="0" borderId="0" xfId="2" applyNumberFormat="1" applyFont="1"/>
    <xf numFmtId="165" fontId="94" fillId="0" borderId="0" xfId="1" applyNumberFormat="1" applyFont="1" applyFill="1" applyBorder="1" applyAlignment="1">
      <alignment horizontal="left"/>
    </xf>
    <xf numFmtId="165" fontId="93" fillId="0" borderId="0" xfId="1" applyNumberFormat="1" applyFont="1" applyFill="1" applyBorder="1" applyAlignment="1">
      <alignment horizontal="left"/>
    </xf>
    <xf numFmtId="165" fontId="93" fillId="0" borderId="0" xfId="1" applyNumberFormat="1" applyFont="1" applyFill="1" applyBorder="1" applyAlignment="1">
      <alignment horizontal="center"/>
    </xf>
    <xf numFmtId="165" fontId="95" fillId="0" borderId="0" xfId="1" applyNumberFormat="1" applyFont="1" applyFill="1" applyBorder="1" applyAlignment="1">
      <alignment horizontal="center"/>
    </xf>
    <xf numFmtId="165" fontId="93" fillId="0" borderId="0" xfId="1" applyNumberFormat="1" applyFont="1" applyFill="1" applyBorder="1" applyProtection="1"/>
    <xf numFmtId="165" fontId="96" fillId="0" borderId="0" xfId="1" applyNumberFormat="1" applyFont="1" applyFill="1" applyBorder="1" applyAlignment="1">
      <alignment horizontal="right"/>
    </xf>
    <xf numFmtId="165" fontId="94" fillId="0" borderId="0" xfId="1" applyNumberFormat="1" applyFont="1" applyFill="1" applyBorder="1" applyAlignment="1" applyProtection="1">
      <alignment horizontal="fill"/>
    </xf>
    <xf numFmtId="171" fontId="98" fillId="0" borderId="0" xfId="1" applyNumberFormat="1" applyFont="1" applyFill="1" applyBorder="1"/>
    <xf numFmtId="165" fontId="98" fillId="0" borderId="0" xfId="1" applyNumberFormat="1" applyFont="1" applyFill="1" applyBorder="1"/>
    <xf numFmtId="165" fontId="98" fillId="0" borderId="0" xfId="1" applyNumberFormat="1" applyFont="1" applyFill="1" applyBorder="1" applyAlignment="1">
      <alignment horizontal="right"/>
    </xf>
    <xf numFmtId="165" fontId="93" fillId="0" borderId="0" xfId="2" applyNumberFormat="1" applyFont="1"/>
    <xf numFmtId="171" fontId="94" fillId="0" borderId="10" xfId="1" applyNumberFormat="1" applyFont="1" applyFill="1" applyBorder="1"/>
    <xf numFmtId="171" fontId="94" fillId="0" borderId="2" xfId="1" applyNumberFormat="1" applyFont="1" applyFill="1" applyBorder="1"/>
    <xf numFmtId="0" fontId="93" fillId="0" borderId="0" xfId="2" quotePrefix="1" applyFont="1" applyAlignment="1">
      <alignment horizontal="center"/>
    </xf>
    <xf numFmtId="0" fontId="99" fillId="27" borderId="38" xfId="2" applyFont="1" applyFill="1" applyBorder="1"/>
    <xf numFmtId="0" fontId="99" fillId="27" borderId="39" xfId="2" applyFont="1" applyFill="1" applyBorder="1" applyAlignment="1">
      <alignment horizontal="center"/>
    </xf>
    <xf numFmtId="0" fontId="99" fillId="27" borderId="40" xfId="2" applyFont="1" applyFill="1" applyBorder="1" applyAlignment="1">
      <alignment horizontal="center"/>
    </xf>
    <xf numFmtId="0" fontId="99" fillId="27" borderId="41" xfId="2" applyFont="1" applyFill="1" applyBorder="1" applyAlignment="1">
      <alignment horizontal="center"/>
    </xf>
    <xf numFmtId="0" fontId="94" fillId="27" borderId="42" xfId="2" applyFont="1" applyFill="1" applyBorder="1"/>
    <xf numFmtId="0" fontId="93" fillId="0" borderId="44" xfId="2" applyFont="1" applyBorder="1"/>
    <xf numFmtId="0" fontId="93" fillId="0" borderId="45" xfId="2" quotePrefix="1" applyFont="1" applyBorder="1" applyAlignment="1">
      <alignment horizontal="center"/>
    </xf>
    <xf numFmtId="0" fontId="94" fillId="0" borderId="44" xfId="2" applyFont="1" applyBorder="1"/>
    <xf numFmtId="165" fontId="94" fillId="0" borderId="45" xfId="1" applyNumberFormat="1" applyFont="1" applyFill="1" applyBorder="1"/>
    <xf numFmtId="165" fontId="94" fillId="0" borderId="45" xfId="1" applyNumberFormat="1" applyFont="1" applyBorder="1"/>
    <xf numFmtId="0" fontId="93" fillId="0" borderId="46" xfId="2" applyFont="1" applyBorder="1"/>
    <xf numFmtId="165" fontId="93" fillId="0" borderId="47" xfId="1" applyNumberFormat="1" applyFont="1" applyBorder="1"/>
    <xf numFmtId="0" fontId="99" fillId="27" borderId="48" xfId="2" applyFont="1" applyFill="1" applyBorder="1" applyAlignment="1">
      <alignment horizontal="center"/>
    </xf>
    <xf numFmtId="0" fontId="99" fillId="27" borderId="49" xfId="2" applyFont="1" applyFill="1" applyBorder="1" applyAlignment="1">
      <alignment horizontal="center"/>
    </xf>
    <xf numFmtId="0" fontId="99" fillId="0" borderId="44" xfId="2" applyFont="1" applyBorder="1" applyAlignment="1">
      <alignment horizontal="center"/>
    </xf>
    <xf numFmtId="0" fontId="99" fillId="0" borderId="45" xfId="2" applyFont="1" applyBorder="1" applyAlignment="1">
      <alignment horizontal="center"/>
    </xf>
    <xf numFmtId="165" fontId="93" fillId="0" borderId="45" xfId="1" applyNumberFormat="1" applyFont="1" applyBorder="1"/>
    <xf numFmtId="0" fontId="93" fillId="0" borderId="50" xfId="2" applyFont="1" applyBorder="1"/>
    <xf numFmtId="165" fontId="93" fillId="0" borderId="51" xfId="1" applyNumberFormat="1" applyFont="1" applyBorder="1"/>
    <xf numFmtId="0" fontId="94" fillId="0" borderId="52" xfId="2" applyFont="1" applyBorder="1"/>
    <xf numFmtId="43" fontId="94" fillId="0" borderId="8" xfId="1" applyFont="1" applyBorder="1"/>
    <xf numFmtId="0" fontId="94" fillId="0" borderId="8" xfId="2" applyFont="1" applyBorder="1"/>
    <xf numFmtId="0" fontId="103" fillId="0" borderId="0" xfId="2" quotePrefix="1" applyFont="1" applyAlignment="1">
      <alignment horizontal="center"/>
    </xf>
    <xf numFmtId="164" fontId="99" fillId="18" borderId="35" xfId="2" quotePrefix="1" applyNumberFormat="1" applyFont="1" applyFill="1" applyBorder="1" applyAlignment="1">
      <alignment horizontal="center"/>
    </xf>
    <xf numFmtId="164" fontId="99" fillId="18" borderId="43" xfId="2" quotePrefix="1" applyNumberFormat="1" applyFont="1" applyFill="1" applyBorder="1" applyAlignment="1">
      <alignment horizontal="center"/>
    </xf>
    <xf numFmtId="1" fontId="0" fillId="0" borderId="0" xfId="0" applyNumberFormat="1"/>
    <xf numFmtId="0" fontId="65" fillId="70" borderId="0" xfId="0" applyFont="1" applyFill="1"/>
    <xf numFmtId="0" fontId="63" fillId="70" borderId="8" xfId="0" applyFont="1" applyFill="1" applyBorder="1" applyAlignment="1">
      <alignment horizontal="center" wrapText="1"/>
    </xf>
    <xf numFmtId="1" fontId="65" fillId="70" borderId="0" xfId="0" applyNumberFormat="1" applyFont="1" applyFill="1"/>
    <xf numFmtId="0" fontId="104" fillId="70" borderId="0" xfId="0" applyFont="1" applyFill="1"/>
    <xf numFmtId="0" fontId="65" fillId="70" borderId="0" xfId="0" applyFont="1" applyFill="1" applyAlignment="1">
      <alignment horizontal="left"/>
    </xf>
    <xf numFmtId="1" fontId="40" fillId="0" borderId="0" xfId="0" applyNumberFormat="1" applyFont="1"/>
    <xf numFmtId="0" fontId="39" fillId="19" borderId="0" xfId="0" applyFont="1" applyFill="1" applyAlignment="1">
      <alignment horizontal="left"/>
    </xf>
    <xf numFmtId="0" fontId="39" fillId="19" borderId="0" xfId="0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75" fontId="0" fillId="0" borderId="0" xfId="0" applyNumberFormat="1"/>
    <xf numFmtId="0" fontId="106" fillId="0" borderId="52" xfId="2" applyFont="1" applyBorder="1" applyAlignment="1">
      <alignment horizontal="right"/>
    </xf>
    <xf numFmtId="43" fontId="106" fillId="0" borderId="8" xfId="1" applyFont="1" applyBorder="1"/>
    <xf numFmtId="43" fontId="106" fillId="0" borderId="53" xfId="1" applyFont="1" applyBorder="1"/>
    <xf numFmtId="165" fontId="94" fillId="0" borderId="8" xfId="2" applyNumberFormat="1" applyFont="1" applyBorder="1"/>
    <xf numFmtId="3" fontId="51" fillId="18" borderId="0" xfId="239" applyNumberFormat="1" applyFont="1" applyFill="1" applyAlignment="1">
      <alignment horizontal="right"/>
    </xf>
    <xf numFmtId="0" fontId="51" fillId="18" borderId="0" xfId="239" applyFont="1" applyFill="1" applyAlignment="1">
      <alignment horizontal="right"/>
    </xf>
    <xf numFmtId="2" fontId="51" fillId="18" borderId="0" xfId="239" applyNumberFormat="1" applyFont="1" applyFill="1" applyAlignment="1">
      <alignment horizontal="right"/>
    </xf>
    <xf numFmtId="165" fontId="107" fillId="0" borderId="0" xfId="1" applyNumberFormat="1" applyFont="1" applyFill="1"/>
    <xf numFmtId="0" fontId="39" fillId="73" borderId="57" xfId="0" applyFont="1" applyFill="1" applyBorder="1"/>
    <xf numFmtId="0" fontId="39" fillId="73" borderId="58" xfId="0" applyFont="1" applyFill="1" applyBorder="1" applyAlignment="1">
      <alignment horizontal="left"/>
    </xf>
    <xf numFmtId="175" fontId="39" fillId="73" borderId="58" xfId="0" applyNumberFormat="1" applyFont="1" applyFill="1" applyBorder="1"/>
    <xf numFmtId="0" fontId="102" fillId="27" borderId="54" xfId="2" applyFont="1" applyFill="1" applyBorder="1" applyAlignment="1">
      <alignment horizontal="centerContinuous"/>
    </xf>
    <xf numFmtId="0" fontId="102" fillId="27" borderId="55" xfId="2" applyFont="1" applyFill="1" applyBorder="1" applyAlignment="1">
      <alignment horizontal="centerContinuous"/>
    </xf>
    <xf numFmtId="0" fontId="102" fillId="27" borderId="56" xfId="2" applyFont="1" applyFill="1" applyBorder="1" applyAlignment="1">
      <alignment horizontal="centerContinuous"/>
    </xf>
    <xf numFmtId="164" fontId="99" fillId="27" borderId="35" xfId="2" quotePrefix="1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18" borderId="0" xfId="0" applyFill="1"/>
    <xf numFmtId="165" fontId="52" fillId="0" borderId="0" xfId="30" applyNumberFormat="1" applyFont="1" applyFill="1" applyBorder="1"/>
    <xf numFmtId="0" fontId="39" fillId="0" borderId="0" xfId="0" applyFont="1" applyAlignment="1">
      <alignment horizontal="right"/>
    </xf>
    <xf numFmtId="44" fontId="0" fillId="0" borderId="0" xfId="9020" applyFont="1"/>
    <xf numFmtId="175" fontId="0" fillId="0" borderId="0" xfId="9020" applyNumberFormat="1" applyFont="1"/>
    <xf numFmtId="0" fontId="39" fillId="0" borderId="0" xfId="0" applyFont="1" applyAlignment="1">
      <alignment horizontal="center" wrapText="1"/>
    </xf>
    <xf numFmtId="43" fontId="0" fillId="0" borderId="0" xfId="1" applyFont="1"/>
    <xf numFmtId="44" fontId="0" fillId="0" borderId="0" xfId="0" applyNumberFormat="1"/>
    <xf numFmtId="175" fontId="0" fillId="0" borderId="2" xfId="9020" applyNumberFormat="1" applyFont="1" applyBorder="1"/>
    <xf numFmtId="0" fontId="0" fillId="0" borderId="2" xfId="0" applyBorder="1"/>
    <xf numFmtId="44" fontId="0" fillId="0" borderId="2" xfId="9020" applyFont="1" applyBorder="1"/>
    <xf numFmtId="44" fontId="0" fillId="0" borderId="2" xfId="0" applyNumberFormat="1" applyBorder="1"/>
    <xf numFmtId="0" fontId="0" fillId="0" borderId="0" xfId="0" applyAlignment="1">
      <alignment horizontal="center"/>
    </xf>
    <xf numFmtId="0" fontId="108" fillId="0" borderId="0" xfId="0" applyFont="1"/>
    <xf numFmtId="165" fontId="94" fillId="18" borderId="0" xfId="1" applyNumberFormat="1" applyFont="1" applyFill="1" applyBorder="1"/>
    <xf numFmtId="165" fontId="94" fillId="18" borderId="45" xfId="1" applyNumberFormat="1" applyFont="1" applyFill="1" applyBorder="1"/>
    <xf numFmtId="43" fontId="94" fillId="0" borderId="53" xfId="1" applyFont="1" applyBorder="1"/>
    <xf numFmtId="175" fontId="0" fillId="0" borderId="37" xfId="0" applyNumberFormat="1" applyBorder="1"/>
    <xf numFmtId="0" fontId="0" fillId="0" borderId="37" xfId="0" applyBorder="1"/>
    <xf numFmtId="43" fontId="98" fillId="0" borderId="0" xfId="1" applyFont="1" applyFill="1" applyBorder="1"/>
    <xf numFmtId="175" fontId="0" fillId="0" borderId="0" xfId="9020" applyNumberFormat="1" applyFont="1" applyBorder="1"/>
    <xf numFmtId="44" fontId="0" fillId="0" borderId="0" xfId="9020" applyFont="1" applyBorder="1"/>
    <xf numFmtId="0" fontId="39" fillId="0" borderId="0" xfId="0" applyFont="1" applyAlignment="1">
      <alignment horizontal="left"/>
    </xf>
    <xf numFmtId="176" fontId="0" fillId="0" borderId="0" xfId="0" applyNumberFormat="1" applyAlignment="1">
      <alignment horizontal="center"/>
    </xf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/>
    </xf>
    <xf numFmtId="0" fontId="105" fillId="70" borderId="59" xfId="0" applyFont="1" applyFill="1" applyBorder="1" applyAlignment="1">
      <alignment horizontal="left" indent="1"/>
    </xf>
    <xf numFmtId="0" fontId="65" fillId="70" borderId="60" xfId="0" applyFont="1" applyFill="1" applyBorder="1"/>
    <xf numFmtId="0" fontId="65" fillId="70" borderId="60" xfId="0" applyFont="1" applyFill="1" applyBorder="1" applyAlignment="1">
      <alignment horizontal="left" vertical="center"/>
    </xf>
    <xf numFmtId="0" fontId="65" fillId="70" borderId="60" xfId="0" applyFont="1" applyFill="1" applyBorder="1" applyAlignment="1">
      <alignment vertical="center"/>
    </xf>
    <xf numFmtId="1" fontId="65" fillId="70" borderId="60" xfId="0" applyNumberFormat="1" applyFont="1" applyFill="1" applyBorder="1"/>
    <xf numFmtId="0" fontId="65" fillId="70" borderId="0" xfId="9023" applyFont="1" applyFill="1"/>
    <xf numFmtId="0" fontId="105" fillId="70" borderId="44" xfId="0" applyFont="1" applyFill="1" applyBorder="1" applyAlignment="1">
      <alignment horizontal="left" indent="1"/>
    </xf>
    <xf numFmtId="0" fontId="0" fillId="70" borderId="0" xfId="0" applyFill="1"/>
    <xf numFmtId="0" fontId="65" fillId="70" borderId="44" xfId="0" applyFont="1" applyFill="1" applyBorder="1" applyAlignment="1">
      <alignment horizontal="left" indent="1"/>
    </xf>
    <xf numFmtId="14" fontId="65" fillId="70" borderId="0" xfId="0" applyNumberFormat="1" applyFont="1" applyFill="1" applyAlignment="1">
      <alignment horizontal="left"/>
    </xf>
    <xf numFmtId="171" fontId="51" fillId="18" borderId="0" xfId="239" applyNumberFormat="1" applyFont="1" applyFill="1" applyAlignment="1">
      <alignment horizontal="right"/>
    </xf>
    <xf numFmtId="0" fontId="63" fillId="70" borderId="44" xfId="0" applyFont="1" applyFill="1" applyBorder="1" applyAlignment="1">
      <alignment horizontal="right"/>
    </xf>
    <xf numFmtId="0" fontId="40" fillId="74" borderId="32" xfId="0" applyFont="1" applyFill="1" applyBorder="1" applyAlignment="1">
      <alignment horizontal="left"/>
    </xf>
    <xf numFmtId="0" fontId="63" fillId="70" borderId="0" xfId="0" applyFont="1" applyFill="1" applyAlignment="1">
      <alignment horizontal="right"/>
    </xf>
    <xf numFmtId="176" fontId="40" fillId="74" borderId="32" xfId="0" applyNumberFormat="1" applyFont="1" applyFill="1" applyBorder="1"/>
    <xf numFmtId="0" fontId="63" fillId="70" borderId="0" xfId="0" applyFont="1" applyFill="1" applyAlignment="1">
      <alignment horizontal="right" vertical="center"/>
    </xf>
    <xf numFmtId="0" fontId="65" fillId="70" borderId="45" xfId="0" applyFont="1" applyFill="1" applyBorder="1"/>
    <xf numFmtId="0" fontId="63" fillId="70" borderId="52" xfId="0" applyFont="1" applyFill="1" applyBorder="1" applyAlignment="1">
      <alignment horizontal="center" wrapText="1"/>
    </xf>
    <xf numFmtId="0" fontId="63" fillId="70" borderId="8" xfId="0" applyFont="1" applyFill="1" applyBorder="1" applyAlignment="1">
      <alignment wrapText="1"/>
    </xf>
    <xf numFmtId="0" fontId="63" fillId="72" borderId="8" xfId="0" applyFont="1" applyFill="1" applyBorder="1" applyAlignment="1">
      <alignment horizontal="center" wrapText="1"/>
    </xf>
    <xf numFmtId="0" fontId="63" fillId="72" borderId="8" xfId="0" applyFont="1" applyFill="1" applyBorder="1" applyAlignment="1">
      <alignment horizontal="right" wrapText="1"/>
    </xf>
    <xf numFmtId="0" fontId="0" fillId="75" borderId="0" xfId="0" applyFill="1" applyAlignment="1">
      <alignment horizontal="center"/>
    </xf>
    <xf numFmtId="0" fontId="39" fillId="75" borderId="0" xfId="0" applyFont="1" applyFill="1" applyAlignment="1">
      <alignment horizontal="left"/>
    </xf>
    <xf numFmtId="0" fontId="0" fillId="75" borderId="0" xfId="0" applyFill="1" applyAlignment="1">
      <alignment horizontal="left"/>
    </xf>
    <xf numFmtId="0" fontId="0" fillId="75" borderId="0" xfId="0" applyFill="1"/>
    <xf numFmtId="176" fontId="0" fillId="75" borderId="0" xfId="0" applyNumberFormat="1" applyFill="1" applyAlignment="1">
      <alignment horizontal="center"/>
    </xf>
    <xf numFmtId="44" fontId="0" fillId="75" borderId="0" xfId="9020" applyFont="1" applyFill="1"/>
    <xf numFmtId="0" fontId="40" fillId="74" borderId="32" xfId="0" applyFont="1" applyFill="1" applyBorder="1"/>
    <xf numFmtId="165" fontId="0" fillId="0" borderId="0" xfId="0" applyNumberFormat="1"/>
    <xf numFmtId="44" fontId="65" fillId="70" borderId="0" xfId="0" applyNumberFormat="1" applyFont="1" applyFill="1"/>
    <xf numFmtId="0" fontId="39" fillId="76" borderId="0" xfId="0" applyFont="1" applyFill="1"/>
    <xf numFmtId="0" fontId="0" fillId="77" borderId="0" xfId="0" applyFill="1"/>
    <xf numFmtId="0" fontId="65" fillId="77" borderId="0" xfId="0" applyFont="1" applyFill="1"/>
    <xf numFmtId="0" fontId="0" fillId="77" borderId="0" xfId="0" applyFill="1" applyAlignment="1">
      <alignment horizontal="right"/>
    </xf>
    <xf numFmtId="49" fontId="0" fillId="0" borderId="0" xfId="0" applyNumberFormat="1"/>
    <xf numFmtId="0" fontId="65" fillId="0" borderId="0" xfId="0" applyFont="1" applyAlignment="1">
      <alignment vertical="top"/>
    </xf>
    <xf numFmtId="177" fontId="109" fillId="78" borderId="61" xfId="9026" quotePrefix="1" applyNumberFormat="1" applyFont="1" applyFill="1" applyBorder="1" applyAlignment="1">
      <alignment horizontal="left" vertical="top"/>
    </xf>
    <xf numFmtId="177" fontId="7" fillId="79" borderId="61" xfId="9026" quotePrefix="1" applyNumberFormat="1" applyFill="1" applyBorder="1" applyAlignment="1">
      <alignment horizontal="left" vertical="top"/>
    </xf>
    <xf numFmtId="0" fontId="7" fillId="79" borderId="61" xfId="9026" applyFill="1" applyBorder="1" applyAlignment="1">
      <alignment horizontal="center" vertical="top"/>
    </xf>
    <xf numFmtId="49" fontId="7" fillId="79" borderId="61" xfId="9026" applyNumberFormat="1" applyFill="1" applyBorder="1" applyAlignment="1">
      <alignment horizontal="left" vertical="top" wrapText="1"/>
    </xf>
    <xf numFmtId="178" fontId="7" fillId="0" borderId="61" xfId="9026" applyNumberFormat="1" applyBorder="1" applyAlignment="1">
      <alignment horizontal="center" vertical="top"/>
    </xf>
    <xf numFmtId="49" fontId="7" fillId="79" borderId="61" xfId="9026" applyNumberFormat="1" applyFill="1" applyBorder="1" applyAlignment="1">
      <alignment horizontal="left" vertical="top"/>
    </xf>
    <xf numFmtId="178" fontId="7" fillId="79" borderId="61" xfId="9026" applyNumberFormat="1" applyFill="1" applyBorder="1" applyAlignment="1">
      <alignment horizontal="center" vertical="top"/>
    </xf>
    <xf numFmtId="49" fontId="7" fillId="79" borderId="61" xfId="9026" applyNumberFormat="1" applyFill="1" applyBorder="1" applyAlignment="1">
      <alignment horizontal="center" vertical="top"/>
    </xf>
    <xf numFmtId="0" fontId="7" fillId="77" borderId="61" xfId="9026" applyFill="1" applyBorder="1" applyAlignment="1">
      <alignment horizontal="center" vertical="top"/>
    </xf>
    <xf numFmtId="37" fontId="7" fillId="0" borderId="0" xfId="9026" applyNumberFormat="1" applyAlignment="1">
      <alignment horizontal="center"/>
    </xf>
    <xf numFmtId="178" fontId="7" fillId="80" borderId="61" xfId="9026" applyNumberFormat="1" applyFill="1" applyBorder="1" applyAlignment="1">
      <alignment vertical="top"/>
    </xf>
    <xf numFmtId="49" fontId="7" fillId="79" borderId="61" xfId="9026" applyNumberFormat="1" applyFill="1" applyBorder="1" applyAlignment="1">
      <alignment vertical="top" wrapText="1"/>
    </xf>
    <xf numFmtId="0" fontId="7" fillId="79" borderId="61" xfId="9026" applyFill="1" applyBorder="1" applyAlignment="1">
      <alignment horizontal="left" vertical="top"/>
    </xf>
    <xf numFmtId="0" fontId="111" fillId="0" borderId="6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2" fillId="0" borderId="61" xfId="0" applyFont="1" applyBorder="1" applyAlignment="1">
      <alignment horizontal="center" vertical="center"/>
    </xf>
    <xf numFmtId="0" fontId="0" fillId="79" borderId="0" xfId="0" applyFill="1"/>
    <xf numFmtId="0" fontId="113" fillId="79" borderId="0" xfId="0" applyFont="1" applyFill="1"/>
    <xf numFmtId="0" fontId="39" fillId="79" borderId="0" xfId="0" applyFont="1" applyFill="1" applyAlignment="1">
      <alignment horizontal="right"/>
    </xf>
    <xf numFmtId="0" fontId="39" fillId="77" borderId="0" xfId="0" applyFont="1" applyFill="1" applyAlignment="1">
      <alignment horizontal="right"/>
    </xf>
    <xf numFmtId="0" fontId="0" fillId="79" borderId="0" xfId="0" quotePrefix="1" applyFill="1"/>
    <xf numFmtId="0" fontId="0" fillId="79" borderId="0" xfId="0" applyFill="1" applyAlignment="1">
      <alignment horizontal="right"/>
    </xf>
    <xf numFmtId="0" fontId="39" fillId="76" borderId="0" xfId="0" applyFont="1" applyFill="1" applyAlignment="1">
      <alignment horizontal="centerContinuous"/>
    </xf>
    <xf numFmtId="0" fontId="41" fillId="77" borderId="0" xfId="0" applyFont="1" applyFill="1" applyAlignment="1">
      <alignment horizontal="right"/>
    </xf>
    <xf numFmtId="0" fontId="0" fillId="81" borderId="0" xfId="0" applyFill="1" applyAlignment="1">
      <alignment horizontal="right"/>
    </xf>
    <xf numFmtId="0" fontId="0" fillId="81" borderId="0" xfId="0" applyFill="1"/>
    <xf numFmtId="37" fontId="7" fillId="0" borderId="0" xfId="9026" applyNumberFormat="1"/>
    <xf numFmtId="0" fontId="114" fillId="0" borderId="0" xfId="0" applyFont="1" applyAlignment="1">
      <alignment horizontal="left"/>
    </xf>
    <xf numFmtId="0" fontId="114" fillId="0" borderId="0" xfId="0" applyFont="1"/>
    <xf numFmtId="0" fontId="114" fillId="0" borderId="0" xfId="0" applyFont="1" applyAlignment="1">
      <alignment horizontal="right"/>
    </xf>
    <xf numFmtId="37" fontId="115" fillId="0" borderId="0" xfId="9026" applyNumberFormat="1" applyFont="1"/>
    <xf numFmtId="37" fontId="34" fillId="0" borderId="0" xfId="9026" applyNumberFormat="1" applyFont="1" applyAlignment="1">
      <alignment wrapText="1"/>
    </xf>
    <xf numFmtId="37" fontId="34" fillId="0" borderId="0" xfId="9026" applyNumberFormat="1" applyFont="1"/>
    <xf numFmtId="0" fontId="116" fillId="0" borderId="0" xfId="0" applyFont="1" applyAlignment="1">
      <alignment horizontal="right"/>
    </xf>
    <xf numFmtId="49" fontId="114" fillId="0" borderId="0" xfId="0" applyNumberFormat="1" applyFont="1" applyAlignment="1">
      <alignment horizontal="left"/>
    </xf>
    <xf numFmtId="49" fontId="114" fillId="0" borderId="0" xfId="0" applyNumberFormat="1" applyFont="1"/>
    <xf numFmtId="49" fontId="114" fillId="0" borderId="0" xfId="0" applyNumberFormat="1" applyFont="1" applyAlignment="1">
      <alignment horizontal="right"/>
    </xf>
    <xf numFmtId="0" fontId="110" fillId="79" borderId="0" xfId="9026" applyFont="1" applyFill="1" applyAlignment="1">
      <alignment horizontal="left"/>
    </xf>
    <xf numFmtId="49" fontId="110" fillId="0" borderId="0" xfId="9026" applyNumberFormat="1" applyFont="1" applyAlignment="1">
      <alignment horizontal="left"/>
    </xf>
    <xf numFmtId="49" fontId="117" fillId="0" borderId="0" xfId="9026" applyNumberFormat="1" applyFont="1" applyAlignment="1">
      <alignment horizontal="center"/>
    </xf>
    <xf numFmtId="37" fontId="7" fillId="0" borderId="0" xfId="9026" applyNumberFormat="1" applyAlignment="1">
      <alignment horizontal="left"/>
    </xf>
    <xf numFmtId="0" fontId="118" fillId="0" borderId="0" xfId="0" applyFont="1"/>
    <xf numFmtId="37" fontId="114" fillId="2" borderId="2" xfId="9026" applyNumberFormat="1" applyFont="1" applyFill="1" applyBorder="1" applyAlignment="1">
      <alignment horizontal="left"/>
    </xf>
    <xf numFmtId="37" fontId="114" fillId="2" borderId="2" xfId="9026" applyNumberFormat="1" applyFont="1" applyFill="1" applyBorder="1" applyAlignment="1">
      <alignment horizontal="center"/>
    </xf>
    <xf numFmtId="37" fontId="119" fillId="2" borderId="2" xfId="9026" applyNumberFormat="1" applyFont="1" applyFill="1" applyBorder="1" applyAlignment="1">
      <alignment horizontal="center"/>
    </xf>
    <xf numFmtId="37" fontId="114" fillId="0" borderId="0" xfId="9026" applyNumberFormat="1" applyFont="1" applyAlignment="1">
      <alignment horizontal="center"/>
    </xf>
    <xf numFmtId="0" fontId="63" fillId="82" borderId="0" xfId="276" applyFont="1" applyFill="1" applyAlignment="1">
      <alignment horizontal="centerContinuous"/>
    </xf>
    <xf numFmtId="37" fontId="120" fillId="0" borderId="0" xfId="9026" applyNumberFormat="1" applyFont="1"/>
    <xf numFmtId="37" fontId="120" fillId="0" borderId="0" xfId="9026" applyNumberFormat="1" applyFont="1" applyAlignment="1">
      <alignment horizontal="center"/>
    </xf>
    <xf numFmtId="37" fontId="121" fillId="0" borderId="0" xfId="9026" applyNumberFormat="1" applyFont="1" applyAlignment="1">
      <alignment horizontal="centerContinuous"/>
    </xf>
    <xf numFmtId="37" fontId="120" fillId="0" borderId="0" xfId="9026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65" fillId="70" borderId="0" xfId="266" applyFill="1" applyAlignment="1">
      <alignment horizontal="centerContinuous"/>
    </xf>
    <xf numFmtId="0" fontId="65" fillId="70" borderId="0" xfId="266" applyFill="1" applyAlignment="1">
      <alignment horizontal="center"/>
    </xf>
    <xf numFmtId="0" fontId="63" fillId="70" borderId="0" xfId="266" applyFont="1" applyFill="1" applyAlignment="1">
      <alignment horizontal="centerContinuous"/>
    </xf>
    <xf numFmtId="37" fontId="110" fillId="0" borderId="8" xfId="9026" applyNumberFormat="1" applyFont="1" applyBorder="1" applyAlignment="1">
      <alignment horizontal="center" wrapText="1"/>
    </xf>
    <xf numFmtId="37" fontId="110" fillId="0" borderId="8" xfId="9026" applyNumberFormat="1" applyFont="1" applyBorder="1" applyAlignment="1">
      <alignment horizontal="left" wrapText="1"/>
    </xf>
    <xf numFmtId="179" fontId="110" fillId="0" borderId="64" xfId="9026" applyNumberFormat="1" applyFont="1" applyBorder="1" applyAlignment="1">
      <alignment horizontal="center"/>
    </xf>
    <xf numFmtId="179" fontId="110" fillId="0" borderId="65" xfId="9026" applyNumberFormat="1" applyFont="1" applyBorder="1" applyAlignment="1">
      <alignment horizontal="center"/>
    </xf>
    <xf numFmtId="179" fontId="110" fillId="0" borderId="66" xfId="9026" applyNumberFormat="1" applyFont="1" applyBorder="1" applyAlignment="1">
      <alignment horizontal="center"/>
    </xf>
    <xf numFmtId="178" fontId="110" fillId="27" borderId="8" xfId="9026" applyNumberFormat="1" applyFont="1" applyFill="1" applyBorder="1" applyAlignment="1">
      <alignment horizontal="center"/>
    </xf>
    <xf numFmtId="0" fontId="122" fillId="0" borderId="0" xfId="0" applyFont="1"/>
    <xf numFmtId="1" fontId="123" fillId="0" borderId="0" xfId="9026" applyNumberFormat="1" applyFont="1" applyAlignment="1">
      <alignment horizontal="center"/>
    </xf>
    <xf numFmtId="37" fontId="125" fillId="0" borderId="0" xfId="9026" applyNumberFormat="1" applyFont="1" applyAlignment="1">
      <alignment horizontal="center"/>
    </xf>
    <xf numFmtId="37" fontId="110" fillId="0" borderId="0" xfId="9026" applyNumberFormat="1" applyFont="1" applyAlignment="1">
      <alignment horizontal="center"/>
    </xf>
    <xf numFmtId="0" fontId="112" fillId="0" borderId="0" xfId="0" applyFont="1"/>
    <xf numFmtId="180" fontId="125" fillId="0" borderId="0" xfId="9026" applyNumberFormat="1" applyFont="1"/>
    <xf numFmtId="180" fontId="7" fillId="0" borderId="0" xfId="9026" applyNumberFormat="1"/>
    <xf numFmtId="0" fontId="7" fillId="0" borderId="0" xfId="9026" applyAlignment="1">
      <alignment horizontal="center"/>
    </xf>
    <xf numFmtId="181" fontId="7" fillId="0" borderId="0" xfId="9026" applyNumberFormat="1"/>
    <xf numFmtId="181" fontId="110" fillId="0" borderId="0" xfId="9026" applyNumberFormat="1" applyFont="1"/>
    <xf numFmtId="37" fontId="110" fillId="0" borderId="0" xfId="9026" applyNumberFormat="1" applyFont="1" applyAlignment="1">
      <alignment horizontal="right"/>
    </xf>
    <xf numFmtId="181" fontId="126" fillId="0" borderId="0" xfId="9026" applyNumberFormat="1" applyFont="1"/>
    <xf numFmtId="0" fontId="39" fillId="0" borderId="0" xfId="0" applyFont="1" applyAlignment="1">
      <alignment horizontal="center" vertical="center" wrapText="1"/>
    </xf>
    <xf numFmtId="3" fontId="0" fillId="0" borderId="0" xfId="902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" xfId="902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5" fontId="7" fillId="77" borderId="62" xfId="9022" applyNumberFormat="1" applyFont="1" applyFill="1" applyBorder="1" applyAlignment="1">
      <alignment vertical="top"/>
    </xf>
    <xf numFmtId="165" fontId="7" fillId="79" borderId="61" xfId="9022" applyNumberFormat="1" applyFont="1" applyFill="1" applyBorder="1" applyAlignment="1">
      <alignment vertical="top"/>
    </xf>
    <xf numFmtId="165" fontId="7" fillId="79" borderId="63" xfId="9022" applyNumberFormat="1" applyFont="1" applyFill="1" applyBorder="1" applyAlignment="1">
      <alignment vertical="top"/>
    </xf>
    <xf numFmtId="165" fontId="110" fillId="80" borderId="61" xfId="9022" applyNumberFormat="1" applyFont="1" applyFill="1" applyBorder="1" applyAlignment="1">
      <alignment horizontal="right" vertical="top"/>
    </xf>
    <xf numFmtId="165" fontId="7" fillId="0" borderId="0" xfId="9022" applyNumberFormat="1" applyFont="1" applyAlignment="1">
      <alignment vertical="top"/>
    </xf>
    <xf numFmtId="165" fontId="7" fillId="0" borderId="0" xfId="9022" quotePrefix="1" applyNumberFormat="1" applyFont="1" applyAlignment="1">
      <alignment vertical="top"/>
    </xf>
    <xf numFmtId="165" fontId="7" fillId="80" borderId="0" xfId="9022" applyNumberFormat="1" applyFont="1" applyFill="1" applyAlignment="1">
      <alignment vertical="top"/>
    </xf>
    <xf numFmtId="0" fontId="7" fillId="0" borderId="61" xfId="9022" applyNumberFormat="1" applyFont="1" applyBorder="1" applyAlignment="1">
      <alignment horizontal="center" vertical="center"/>
    </xf>
    <xf numFmtId="43" fontId="112" fillId="0" borderId="61" xfId="9022" applyFont="1" applyBorder="1" applyAlignment="1">
      <alignment horizontal="center" vertical="center"/>
    </xf>
    <xf numFmtId="43" fontId="112" fillId="0" borderId="61" xfId="9022" applyFont="1" applyBorder="1" applyAlignment="1">
      <alignment horizontal="right" vertical="center"/>
    </xf>
    <xf numFmtId="165" fontId="112" fillId="0" borderId="61" xfId="9022" applyNumberFormat="1" applyFont="1" applyBorder="1" applyAlignment="1">
      <alignment horizontal="center" vertical="center"/>
    </xf>
    <xf numFmtId="49" fontId="110" fillId="79" borderId="0" xfId="9026" applyNumberFormat="1" applyFont="1" applyFill="1" applyAlignment="1">
      <alignment horizontal="left"/>
    </xf>
    <xf numFmtId="0" fontId="127" fillId="0" borderId="0" xfId="0" applyFont="1"/>
    <xf numFmtId="165" fontId="110" fillId="27" borderId="36" xfId="9022" applyNumberFormat="1" applyFont="1" applyFill="1" applyBorder="1" applyAlignment="1">
      <alignment horizontal="right" vertical="top"/>
    </xf>
    <xf numFmtId="178" fontId="7" fillId="80" borderId="61" xfId="9026" applyNumberFormat="1" applyFill="1" applyBorder="1" applyAlignment="1">
      <alignment vertical="top" wrapText="1"/>
    </xf>
    <xf numFmtId="3" fontId="0" fillId="0" borderId="0" xfId="9020" applyNumberFormat="1" applyFon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9" fontId="7" fillId="18" borderId="32" xfId="9026" applyNumberFormat="1" applyFill="1" applyBorder="1" applyAlignment="1">
      <alignment horizontal="left" vertical="top"/>
    </xf>
    <xf numFmtId="49" fontId="7" fillId="75" borderId="32" xfId="9026" applyNumberFormat="1" applyFill="1" applyBorder="1" applyAlignment="1">
      <alignment horizontal="left" vertical="top"/>
    </xf>
    <xf numFmtId="0" fontId="0" fillId="27" borderId="0" xfId="0" applyFill="1"/>
    <xf numFmtId="44" fontId="40" fillId="83" borderId="0" xfId="9020" applyFont="1" applyFill="1"/>
    <xf numFmtId="44" fontId="40" fillId="83" borderId="2" xfId="9020" applyFont="1" applyFill="1" applyBorder="1"/>
    <xf numFmtId="0" fontId="0" fillId="83" borderId="0" xfId="0" applyFill="1"/>
    <xf numFmtId="43" fontId="0" fillId="18" borderId="0" xfId="1" applyFont="1" applyFill="1"/>
    <xf numFmtId="0" fontId="38" fillId="75" borderId="0" xfId="0" applyFont="1" applyFill="1" applyAlignment="1">
      <alignment horizontal="left"/>
    </xf>
    <xf numFmtId="0" fontId="1" fillId="71" borderId="0" xfId="9024" applyFill="1" applyAlignment="1">
      <alignment horizontal="center"/>
    </xf>
    <xf numFmtId="1" fontId="1" fillId="71" borderId="0" xfId="9024" applyNumberFormat="1" applyFill="1" applyAlignment="1">
      <alignment horizontal="center"/>
    </xf>
    <xf numFmtId="171" fontId="1" fillId="71" borderId="0" xfId="9024" applyNumberFormat="1" applyFill="1" applyAlignment="1">
      <alignment horizontal="center"/>
    </xf>
    <xf numFmtId="165" fontId="0" fillId="71" borderId="0" xfId="9025" applyNumberFormat="1" applyFont="1" applyFill="1" applyAlignment="1">
      <alignment horizontal="center"/>
    </xf>
    <xf numFmtId="165" fontId="0" fillId="71" borderId="0" xfId="9025" applyNumberFormat="1" applyFont="1" applyFill="1"/>
    <xf numFmtId="165" fontId="1" fillId="71" borderId="0" xfId="9024" applyNumberFormat="1" applyFill="1"/>
    <xf numFmtId="0" fontId="1" fillId="71" borderId="0" xfId="9024" applyFill="1" applyAlignment="1">
      <alignment horizontal="left"/>
    </xf>
    <xf numFmtId="0" fontId="29" fillId="0" borderId="0" xfId="2" applyFont="1"/>
    <xf numFmtId="4" fontId="31" fillId="0" borderId="0" xfId="2" applyNumberFormat="1" applyFont="1" applyAlignment="1">
      <alignment horizontal="left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" fontId="29" fillId="0" borderId="0" xfId="2" applyNumberFormat="1" applyFont="1" applyAlignment="1">
      <alignment horizontal="right"/>
    </xf>
    <xf numFmtId="14" fontId="32" fillId="0" borderId="0" xfId="2" applyNumberFormat="1" applyFont="1"/>
    <xf numFmtId="3" fontId="31" fillId="0" borderId="0" xfId="2" applyNumberFormat="1" applyFont="1" applyAlignment="1">
      <alignment horizontal="right"/>
    </xf>
    <xf numFmtId="4" fontId="29" fillId="0" borderId="0" xfId="2" applyNumberFormat="1" applyFont="1" applyAlignment="1">
      <alignment horizontal="left"/>
    </xf>
    <xf numFmtId="0" fontId="31" fillId="0" borderId="0" xfId="2" applyFont="1" applyAlignment="1">
      <alignment horizontal="right"/>
    </xf>
    <xf numFmtId="0" fontId="31" fillId="0" borderId="0" xfId="2" applyFont="1" applyAlignment="1">
      <alignment horizontal="center"/>
    </xf>
    <xf numFmtId="0" fontId="7" fillId="0" borderId="0" xfId="123" applyAlignment="1">
      <alignment horizontal="center"/>
    </xf>
    <xf numFmtId="0" fontId="51" fillId="0" borderId="0" xfId="239" applyFont="1" applyAlignment="1">
      <alignment horizontal="center"/>
    </xf>
    <xf numFmtId="0" fontId="31" fillId="0" borderId="0" xfId="2" applyFont="1" applyAlignment="1">
      <alignment horizontal="left"/>
    </xf>
    <xf numFmtId="9" fontId="31" fillId="0" borderId="0" xfId="2" applyNumberFormat="1" applyFont="1" applyAlignment="1">
      <alignment horizontal="center"/>
    </xf>
    <xf numFmtId="3" fontId="31" fillId="0" borderId="0" xfId="2" applyNumberFormat="1" applyFont="1" applyAlignment="1">
      <alignment horizontal="center"/>
    </xf>
    <xf numFmtId="0" fontId="52" fillId="0" borderId="0" xfId="239" applyFont="1" applyAlignment="1">
      <alignment horizontal="center"/>
    </xf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left"/>
    </xf>
    <xf numFmtId="9" fontId="33" fillId="0" borderId="0" xfId="2" applyNumberFormat="1" applyFont="1" applyAlignment="1">
      <alignment horizontal="center"/>
    </xf>
    <xf numFmtId="0" fontId="29" fillId="0" borderId="0" xfId="2" applyFont="1" applyAlignment="1">
      <alignment horizontal="fill"/>
    </xf>
    <xf numFmtId="3" fontId="33" fillId="0" borderId="0" xfId="2" applyNumberFormat="1" applyFont="1" applyAlignment="1">
      <alignment horizontal="center"/>
    </xf>
    <xf numFmtId="167" fontId="31" fillId="0" borderId="0" xfId="2" applyNumberFormat="1" applyFont="1" applyAlignment="1">
      <alignment horizontal="center"/>
    </xf>
    <xf numFmtId="168" fontId="31" fillId="0" borderId="0" xfId="2" applyNumberFormat="1" applyFont="1" applyAlignment="1">
      <alignment horizontal="center"/>
    </xf>
    <xf numFmtId="164" fontId="31" fillId="0" borderId="0" xfId="2" applyNumberFormat="1" applyFont="1" applyAlignment="1">
      <alignment horizontal="center"/>
    </xf>
    <xf numFmtId="0" fontId="29" fillId="0" borderId="0" xfId="2" applyFont="1" applyAlignment="1">
      <alignment horizontal="left"/>
    </xf>
    <xf numFmtId="9" fontId="29" fillId="0" borderId="0" xfId="2" applyNumberFormat="1" applyFont="1" applyAlignment="1">
      <alignment horizontal="center"/>
    </xf>
    <xf numFmtId="4" fontId="29" fillId="0" borderId="0" xfId="2" applyNumberFormat="1" applyFont="1" applyAlignment="1">
      <alignment horizontal="center"/>
    </xf>
    <xf numFmtId="0" fontId="29" fillId="0" borderId="0" xfId="2" applyFont="1" applyAlignment="1">
      <alignment horizontal="right"/>
    </xf>
    <xf numFmtId="37" fontId="29" fillId="0" borderId="0" xfId="2" applyNumberFormat="1" applyFont="1"/>
    <xf numFmtId="0" fontId="31" fillId="0" borderId="0" xfId="2" applyFont="1"/>
    <xf numFmtId="4" fontId="31" fillId="0" borderId="0" xfId="2" applyNumberFormat="1" applyFont="1" applyAlignment="1">
      <alignment horizontal="center"/>
    </xf>
    <xf numFmtId="4" fontId="31" fillId="0" borderId="0" xfId="2" applyNumberFormat="1" applyFont="1" applyAlignment="1">
      <alignment horizontal="right"/>
    </xf>
    <xf numFmtId="3" fontId="31" fillId="0" borderId="10" xfId="2" applyNumberFormat="1" applyFont="1" applyBorder="1" applyAlignment="1">
      <alignment horizontal="right"/>
    </xf>
    <xf numFmtId="37" fontId="31" fillId="0" borderId="10" xfId="2" applyNumberFormat="1" applyFont="1" applyBorder="1"/>
    <xf numFmtId="4" fontId="31" fillId="0" borderId="10" xfId="2" applyNumberFormat="1" applyFont="1" applyBorder="1" applyAlignment="1">
      <alignment horizontal="right"/>
    </xf>
    <xf numFmtId="37" fontId="31" fillId="0" borderId="0" xfId="2" applyNumberFormat="1" applyFont="1"/>
    <xf numFmtId="0" fontId="29" fillId="0" borderId="0" xfId="2" quotePrefix="1" applyFont="1" applyAlignment="1">
      <alignment horizontal="left"/>
    </xf>
    <xf numFmtId="3" fontId="31" fillId="0" borderId="10" xfId="2" applyNumberFormat="1" applyFont="1" applyBorder="1"/>
    <xf numFmtId="4" fontId="31" fillId="0" borderId="10" xfId="2" applyNumberFormat="1" applyFont="1" applyBorder="1"/>
    <xf numFmtId="3" fontId="29" fillId="0" borderId="0" xfId="2" applyNumberFormat="1" applyFont="1" applyAlignment="1">
      <alignment horizontal="right"/>
    </xf>
    <xf numFmtId="37" fontId="29" fillId="0" borderId="10" xfId="2" applyNumberFormat="1" applyFont="1" applyBorder="1"/>
    <xf numFmtId="4" fontId="29" fillId="0" borderId="10" xfId="2" applyNumberFormat="1" applyFont="1" applyBorder="1" applyAlignment="1">
      <alignment horizontal="right"/>
    </xf>
    <xf numFmtId="0" fontId="29" fillId="0" borderId="0" xfId="2" quotePrefix="1" applyFont="1" applyAlignment="1">
      <alignment horizontal="right"/>
    </xf>
    <xf numFmtId="169" fontId="29" fillId="0" borderId="0" xfId="2" applyNumberFormat="1" applyFont="1" applyAlignment="1">
      <alignment horizontal="center"/>
    </xf>
    <xf numFmtId="39" fontId="29" fillId="0" borderId="0" xfId="2" applyNumberFormat="1" applyFont="1" applyAlignment="1">
      <alignment horizontal="fill"/>
    </xf>
    <xf numFmtId="0" fontId="29" fillId="0" borderId="10" xfId="2" applyFont="1" applyBorder="1"/>
    <xf numFmtId="0" fontId="31" fillId="0" borderId="10" xfId="2" applyFont="1" applyBorder="1"/>
    <xf numFmtId="39" fontId="29" fillId="0" borderId="0" xfId="2" applyNumberFormat="1" applyFont="1"/>
    <xf numFmtId="3" fontId="31" fillId="0" borderId="0" xfId="2" applyNumberFormat="1" applyFont="1"/>
    <xf numFmtId="0" fontId="30" fillId="0" borderId="0" xfId="2" applyFont="1"/>
    <xf numFmtId="39" fontId="29" fillId="0" borderId="0" xfId="2" applyNumberFormat="1" applyFont="1" applyAlignment="1">
      <alignment horizontal="left"/>
    </xf>
    <xf numFmtId="3" fontId="29" fillId="0" borderId="0" xfId="2" applyNumberFormat="1" applyFont="1" applyAlignment="1">
      <alignment horizontal="fill"/>
    </xf>
    <xf numFmtId="9" fontId="31" fillId="0" borderId="0" xfId="2" applyNumberFormat="1" applyFont="1"/>
    <xf numFmtId="9" fontId="29" fillId="0" borderId="0" xfId="2" applyNumberFormat="1" applyFont="1"/>
    <xf numFmtId="37" fontId="29" fillId="0" borderId="0" xfId="2" applyNumberFormat="1" applyFont="1" applyAlignment="1">
      <alignment horizontal="center"/>
    </xf>
    <xf numFmtId="14" fontId="29" fillId="0" borderId="0" xfId="2" applyNumberFormat="1" applyFont="1"/>
    <xf numFmtId="43" fontId="29" fillId="0" borderId="2" xfId="1" applyFont="1" applyFill="1" applyBorder="1"/>
    <xf numFmtId="43" fontId="29" fillId="0" borderId="0" xfId="2" applyNumberFormat="1" applyFont="1"/>
    <xf numFmtId="39" fontId="29" fillId="0" borderId="0" xfId="2" quotePrefix="1" applyNumberFormat="1" applyFont="1" applyAlignment="1">
      <alignment horizontal="left"/>
    </xf>
    <xf numFmtId="0" fontId="34" fillId="0" borderId="0" xfId="2" applyFont="1"/>
    <xf numFmtId="4" fontId="35" fillId="0" borderId="0" xfId="2" applyNumberFormat="1" applyFont="1" applyAlignment="1">
      <alignment horizontal="right"/>
    </xf>
    <xf numFmtId="0" fontId="35" fillId="0" borderId="0" xfId="2" applyFont="1"/>
    <xf numFmtId="0" fontId="35" fillId="0" borderId="0" xfId="2" applyFont="1" applyAlignment="1">
      <alignment horizontal="center"/>
    </xf>
    <xf numFmtId="9" fontId="35" fillId="0" borderId="0" xfId="2" applyNumberFormat="1" applyFont="1" applyAlignment="1">
      <alignment horizontal="center"/>
    </xf>
    <xf numFmtId="4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right"/>
    </xf>
    <xf numFmtId="3" fontId="35" fillId="0" borderId="0" xfId="2" applyNumberFormat="1" applyFont="1"/>
    <xf numFmtId="4" fontId="34" fillId="0" borderId="0" xfId="2" applyNumberFormat="1" applyFont="1" applyAlignment="1">
      <alignment horizontal="right"/>
    </xf>
    <xf numFmtId="0" fontId="35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0" fillId="0" borderId="0" xfId="2" quotePrefix="1" applyFont="1" applyAlignment="1">
      <alignment horizontal="left"/>
    </xf>
    <xf numFmtId="9" fontId="30" fillId="0" borderId="0" xfId="2" applyNumberFormat="1" applyFont="1" applyAlignment="1">
      <alignment horizontal="center"/>
    </xf>
    <xf numFmtId="4" fontId="30" fillId="0" borderId="0" xfId="2" applyNumberFormat="1" applyFont="1" applyAlignment="1">
      <alignment horizontal="right"/>
    </xf>
    <xf numFmtId="4" fontId="30" fillId="0" borderId="0" xfId="2" applyNumberFormat="1" applyFont="1" applyAlignment="1">
      <alignment horizontal="center"/>
    </xf>
    <xf numFmtId="0" fontId="30" fillId="0" borderId="0" xfId="2" applyFont="1" applyAlignment="1">
      <alignment horizontal="right"/>
    </xf>
    <xf numFmtId="3" fontId="30" fillId="0" borderId="0" xfId="2" applyNumberFormat="1" applyFont="1"/>
    <xf numFmtId="37" fontId="30" fillId="0" borderId="0" xfId="2" applyNumberFormat="1" applyFont="1"/>
    <xf numFmtId="37" fontId="35" fillId="0" borderId="0" xfId="2" applyNumberFormat="1" applyFont="1"/>
    <xf numFmtId="37" fontId="29" fillId="0" borderId="0" xfId="2" applyNumberFormat="1" applyFont="1" applyAlignment="1">
      <alignment horizontal="fill"/>
    </xf>
    <xf numFmtId="9" fontId="29" fillId="0" borderId="0" xfId="2" applyNumberFormat="1" applyFont="1" applyAlignment="1">
      <alignment horizontal="fill"/>
    </xf>
    <xf numFmtId="4" fontId="29" fillId="0" borderId="0" xfId="2" applyNumberFormat="1" applyFont="1"/>
    <xf numFmtId="4" fontId="93" fillId="0" borderId="0" xfId="2" applyNumberFormat="1" applyFont="1" applyAlignment="1">
      <alignment horizontal="left"/>
    </xf>
    <xf numFmtId="0" fontId="94" fillId="0" borderId="0" xfId="2" applyFont="1" applyAlignment="1">
      <alignment horizontal="center"/>
    </xf>
    <xf numFmtId="3" fontId="94" fillId="0" borderId="0" xfId="2" applyNumberFormat="1" applyFont="1"/>
    <xf numFmtId="4" fontId="94" fillId="0" borderId="0" xfId="2" applyNumberFormat="1" applyFont="1" applyAlignment="1">
      <alignment horizontal="right"/>
    </xf>
    <xf numFmtId="43" fontId="94" fillId="0" borderId="0" xfId="1" applyFont="1" applyFill="1"/>
    <xf numFmtId="0" fontId="93" fillId="0" borderId="0" xfId="2" applyFont="1" applyAlignment="1">
      <alignment horizontal="center" vertical="center"/>
    </xf>
    <xf numFmtId="3" fontId="51" fillId="0" borderId="0" xfId="239" applyNumberFormat="1" applyFont="1" applyAlignment="1">
      <alignment horizontal="right"/>
    </xf>
    <xf numFmtId="4" fontId="29" fillId="0" borderId="0" xfId="9019" applyNumberFormat="1" applyFont="1" applyAlignment="1">
      <alignment horizontal="left"/>
    </xf>
    <xf numFmtId="0" fontId="100" fillId="0" borderId="0" xfId="2" applyFont="1" applyAlignment="1">
      <alignment horizontal="left"/>
    </xf>
    <xf numFmtId="0" fontId="97" fillId="0" borderId="0" xfId="2" applyFont="1" applyAlignment="1">
      <alignment horizontal="center"/>
    </xf>
    <xf numFmtId="0" fontId="51" fillId="0" borderId="0" xfId="239" applyFont="1" applyAlignment="1">
      <alignment horizontal="right"/>
    </xf>
    <xf numFmtId="2" fontId="51" fillId="0" borderId="0" xfId="239" applyNumberFormat="1" applyFont="1" applyAlignment="1">
      <alignment horizontal="right"/>
    </xf>
    <xf numFmtId="0" fontId="29" fillId="0" borderId="0" xfId="9019" applyFont="1"/>
    <xf numFmtId="0" fontId="95" fillId="0" borderId="0" xfId="2" applyFont="1" applyAlignment="1">
      <alignment horizontal="left"/>
    </xf>
    <xf numFmtId="9" fontId="93" fillId="0" borderId="0" xfId="2" applyNumberFormat="1" applyFont="1" applyAlignment="1">
      <alignment horizontal="center"/>
    </xf>
    <xf numFmtId="3" fontId="93" fillId="0" borderId="0" xfId="2" applyNumberFormat="1" applyFont="1" applyAlignment="1">
      <alignment horizontal="center"/>
    </xf>
    <xf numFmtId="0" fontId="93" fillId="0" borderId="0" xfId="2" applyFont="1" applyAlignment="1">
      <alignment horizontal="left"/>
    </xf>
    <xf numFmtId="0" fontId="95" fillId="0" borderId="0" xfId="2" applyFont="1" applyAlignment="1">
      <alignment horizontal="center"/>
    </xf>
    <xf numFmtId="9" fontId="95" fillId="0" borderId="0" xfId="2" applyNumberFormat="1" applyFont="1" applyAlignment="1">
      <alignment horizontal="center"/>
    </xf>
    <xf numFmtId="3" fontId="95" fillId="0" borderId="0" xfId="2" applyNumberFormat="1" applyFont="1" applyAlignment="1">
      <alignment horizontal="center"/>
    </xf>
    <xf numFmtId="167" fontId="93" fillId="0" borderId="0" xfId="2" applyNumberFormat="1" applyFont="1" applyAlignment="1">
      <alignment horizontal="center"/>
    </xf>
    <xf numFmtId="168" fontId="93" fillId="0" borderId="0" xfId="2" applyNumberFormat="1" applyFont="1" applyAlignment="1">
      <alignment horizontal="center"/>
    </xf>
    <xf numFmtId="0" fontId="94" fillId="0" borderId="0" xfId="2" applyFont="1" applyAlignment="1">
      <alignment horizontal="left"/>
    </xf>
    <xf numFmtId="9" fontId="94" fillId="0" borderId="0" xfId="2" applyNumberFormat="1" applyFont="1" applyAlignment="1">
      <alignment horizontal="center"/>
    </xf>
    <xf numFmtId="4" fontId="94" fillId="0" borderId="0" xfId="2" applyNumberFormat="1" applyFont="1" applyAlignment="1">
      <alignment horizontal="center"/>
    </xf>
    <xf numFmtId="0" fontId="94" fillId="0" borderId="0" xfId="2" applyFont="1" applyAlignment="1">
      <alignment horizontal="right"/>
    </xf>
    <xf numFmtId="43" fontId="29" fillId="0" borderId="0" xfId="31" applyFont="1" applyFill="1" applyBorder="1" applyAlignment="1">
      <alignment horizontal="right"/>
    </xf>
    <xf numFmtId="165" fontId="94" fillId="0" borderId="0" xfId="31" applyNumberFormat="1" applyFont="1" applyFill="1" applyBorder="1" applyAlignment="1">
      <alignment horizontal="right"/>
    </xf>
    <xf numFmtId="0" fontId="98" fillId="0" borderId="0" xfId="2" applyFont="1"/>
    <xf numFmtId="0" fontId="98" fillId="0" borderId="0" xfId="2" applyFont="1" applyAlignment="1">
      <alignment horizontal="center"/>
    </xf>
    <xf numFmtId="0" fontId="98" fillId="0" borderId="0" xfId="2" applyFont="1" applyAlignment="1">
      <alignment horizontal="left"/>
    </xf>
    <xf numFmtId="9" fontId="98" fillId="0" borderId="0" xfId="2" applyNumberFormat="1" applyFont="1" applyAlignment="1">
      <alignment horizontal="center"/>
    </xf>
    <xf numFmtId="4" fontId="98" fillId="0" borderId="0" xfId="2" applyNumberFormat="1" applyFont="1" applyAlignment="1">
      <alignment horizontal="center"/>
    </xf>
    <xf numFmtId="0" fontId="98" fillId="0" borderId="0" xfId="2" applyFont="1" applyAlignment="1">
      <alignment horizontal="right"/>
    </xf>
    <xf numFmtId="1" fontId="94" fillId="0" borderId="0" xfId="2" applyNumberFormat="1" applyFont="1" applyAlignment="1">
      <alignment horizontal="right"/>
    </xf>
    <xf numFmtId="171" fontId="94" fillId="0" borderId="0" xfId="2" applyNumberFormat="1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3" fontId="93" fillId="0" borderId="0" xfId="2" applyNumberFormat="1" applyFont="1" applyAlignment="1">
      <alignment horizontal="right"/>
    </xf>
    <xf numFmtId="4" fontId="93" fillId="0" borderId="10" xfId="2" applyNumberFormat="1" applyFont="1" applyBorder="1" applyAlignment="1">
      <alignment horizontal="left"/>
    </xf>
    <xf numFmtId="0" fontId="93" fillId="0" borderId="10" xfId="2" applyFont="1" applyBorder="1" applyAlignment="1">
      <alignment horizontal="right"/>
    </xf>
    <xf numFmtId="4" fontId="93" fillId="0" borderId="10" xfId="2" applyNumberFormat="1" applyFont="1" applyBorder="1" applyAlignment="1">
      <alignment horizontal="center"/>
    </xf>
    <xf numFmtId="0" fontId="93" fillId="0" borderId="10" xfId="2" applyFont="1" applyBorder="1" applyAlignment="1">
      <alignment horizontal="center"/>
    </xf>
    <xf numFmtId="0" fontId="93" fillId="0" borderId="10" xfId="2" applyFont="1" applyBorder="1"/>
    <xf numFmtId="43" fontId="93" fillId="0" borderId="0" xfId="1" applyFont="1" applyFill="1"/>
    <xf numFmtId="0" fontId="93" fillId="0" borderId="0" xfId="2" applyFont="1" applyAlignment="1">
      <alignment horizontal="right"/>
    </xf>
    <xf numFmtId="4" fontId="93" fillId="0" borderId="0" xfId="2" applyNumberFormat="1" applyFont="1" applyAlignment="1">
      <alignment horizontal="center"/>
    </xf>
    <xf numFmtId="4" fontId="95" fillId="0" borderId="0" xfId="2" applyNumberFormat="1" applyFont="1" applyAlignment="1">
      <alignment horizontal="left"/>
    </xf>
    <xf numFmtId="4" fontId="93" fillId="0" borderId="0" xfId="2" applyNumberFormat="1" applyFont="1" applyAlignment="1">
      <alignment horizontal="right"/>
    </xf>
    <xf numFmtId="0" fontId="93" fillId="0" borderId="10" xfId="2" applyFont="1" applyBorder="1" applyAlignment="1">
      <alignment horizontal="left"/>
    </xf>
    <xf numFmtId="0" fontId="94" fillId="0" borderId="10" xfId="2" applyFont="1" applyBorder="1"/>
    <xf numFmtId="0" fontId="94" fillId="0" borderId="10" xfId="2" applyFont="1" applyBorder="1" applyAlignment="1">
      <alignment horizontal="center"/>
    </xf>
    <xf numFmtId="9" fontId="94" fillId="0" borderId="10" xfId="2" applyNumberFormat="1" applyFont="1" applyBorder="1" applyAlignment="1">
      <alignment horizontal="center"/>
    </xf>
    <xf numFmtId="4" fontId="94" fillId="0" borderId="10" xfId="2" applyNumberFormat="1" applyFont="1" applyBorder="1" applyAlignment="1">
      <alignment horizontal="center"/>
    </xf>
    <xf numFmtId="0" fontId="94" fillId="0" borderId="10" xfId="2" applyFont="1" applyBorder="1" applyAlignment="1">
      <alignment horizontal="right"/>
    </xf>
    <xf numFmtId="0" fontId="94" fillId="0" borderId="0" xfId="2" quotePrefix="1" applyFont="1" applyAlignment="1">
      <alignment horizontal="left"/>
    </xf>
    <xf numFmtId="165" fontId="29" fillId="0" borderId="0" xfId="31" applyNumberFormat="1" applyFont="1" applyFill="1" applyBorder="1" applyAlignment="1">
      <alignment horizontal="right"/>
    </xf>
    <xf numFmtId="9" fontId="93" fillId="0" borderId="10" xfId="2" applyNumberFormat="1" applyFont="1" applyBorder="1" applyAlignment="1">
      <alignment horizontal="center"/>
    </xf>
    <xf numFmtId="3" fontId="93" fillId="0" borderId="10" xfId="2" applyNumberFormat="1" applyFont="1" applyBorder="1"/>
    <xf numFmtId="3" fontId="94" fillId="0" borderId="0" xfId="2" applyNumberFormat="1" applyFont="1" applyAlignment="1">
      <alignment horizontal="right"/>
    </xf>
    <xf numFmtId="169" fontId="94" fillId="0" borderId="0" xfId="2" applyNumberFormat="1" applyFont="1" applyAlignment="1">
      <alignment horizontal="center"/>
    </xf>
    <xf numFmtId="3" fontId="93" fillId="0" borderId="10" xfId="2" applyNumberFormat="1" applyFont="1" applyBorder="1" applyAlignment="1">
      <alignment horizontal="right"/>
    </xf>
    <xf numFmtId="43" fontId="98" fillId="0" borderId="0" xfId="1" applyFont="1" applyFill="1"/>
    <xf numFmtId="0" fontId="94" fillId="0" borderId="0" xfId="2" quotePrefix="1" applyFont="1" applyAlignment="1">
      <alignment horizontal="right"/>
    </xf>
    <xf numFmtId="0" fontId="95" fillId="0" borderId="0" xfId="2" applyFont="1"/>
    <xf numFmtId="39" fontId="94" fillId="0" borderId="0" xfId="2" applyNumberFormat="1" applyFont="1"/>
    <xf numFmtId="3" fontId="93" fillId="0" borderId="0" xfId="2" applyNumberFormat="1" applyFont="1"/>
    <xf numFmtId="37" fontId="93" fillId="0" borderId="0" xfId="2" applyNumberFormat="1" applyFont="1"/>
    <xf numFmtId="0" fontId="96" fillId="0" borderId="0" xfId="2" applyFont="1"/>
    <xf numFmtId="39" fontId="94" fillId="0" borderId="0" xfId="2" applyNumberFormat="1" applyFont="1" applyAlignment="1">
      <alignment horizontal="left"/>
    </xf>
    <xf numFmtId="3" fontId="94" fillId="0" borderId="0" xfId="2" applyNumberFormat="1" applyFont="1" applyAlignment="1">
      <alignment horizontal="fill"/>
    </xf>
    <xf numFmtId="3" fontId="94" fillId="0" borderId="37" xfId="2" applyNumberFormat="1" applyFont="1" applyBorder="1"/>
    <xf numFmtId="0" fontId="94" fillId="0" borderId="37" xfId="2" applyFont="1" applyBorder="1"/>
    <xf numFmtId="0" fontId="93" fillId="0" borderId="2" xfId="2" applyFont="1" applyBorder="1"/>
    <xf numFmtId="0" fontId="93" fillId="0" borderId="2" xfId="2" applyFont="1" applyBorder="1" applyAlignment="1">
      <alignment horizontal="center"/>
    </xf>
    <xf numFmtId="37" fontId="94" fillId="0" borderId="0" xfId="2" applyNumberFormat="1" applyFont="1"/>
    <xf numFmtId="14" fontId="94" fillId="0" borderId="0" xfId="2" applyNumberFormat="1" applyFont="1"/>
    <xf numFmtId="39" fontId="94" fillId="0" borderId="0" xfId="2" quotePrefix="1" applyNumberFormat="1" applyFont="1" applyAlignment="1">
      <alignment horizontal="left"/>
    </xf>
    <xf numFmtId="0" fontId="97" fillId="0" borderId="0" xfId="2" applyFont="1"/>
    <xf numFmtId="4" fontId="98" fillId="0" borderId="0" xfId="2" applyNumberFormat="1" applyFont="1" applyAlignment="1">
      <alignment horizontal="right"/>
    </xf>
    <xf numFmtId="3" fontId="98" fillId="0" borderId="0" xfId="2" applyNumberFormat="1" applyFont="1"/>
    <xf numFmtId="0" fontId="96" fillId="0" borderId="0" xfId="2" applyFont="1" applyAlignment="1">
      <alignment horizontal="center"/>
    </xf>
    <xf numFmtId="0" fontId="96" fillId="0" borderId="0" xfId="2" quotePrefix="1" applyFont="1" applyAlignment="1">
      <alignment horizontal="left"/>
    </xf>
    <xf numFmtId="9" fontId="96" fillId="0" borderId="0" xfId="2" applyNumberFormat="1" applyFont="1" applyAlignment="1">
      <alignment horizontal="center"/>
    </xf>
    <xf numFmtId="4" fontId="96" fillId="0" borderId="0" xfId="2" applyNumberFormat="1" applyFont="1" applyAlignment="1">
      <alignment horizontal="center"/>
    </xf>
    <xf numFmtId="0" fontId="96" fillId="0" borderId="0" xfId="2" applyFont="1" applyAlignment="1">
      <alignment horizontal="right"/>
    </xf>
    <xf numFmtId="3" fontId="96" fillId="0" borderId="0" xfId="2" applyNumberFormat="1" applyFont="1"/>
    <xf numFmtId="4" fontId="96" fillId="0" borderId="0" xfId="2" applyNumberFormat="1" applyFont="1" applyAlignment="1">
      <alignment horizontal="right"/>
    </xf>
    <xf numFmtId="43" fontId="96" fillId="0" borderId="0" xfId="1" applyFont="1" applyFill="1"/>
    <xf numFmtId="37" fontId="94" fillId="0" borderId="0" xfId="2" applyNumberFormat="1" applyFont="1" applyAlignment="1">
      <alignment horizontal="fill"/>
    </xf>
    <xf numFmtId="0" fontId="39" fillId="73" borderId="0" xfId="0" applyFont="1" applyFill="1" applyAlignment="1">
      <alignment horizontal="center"/>
    </xf>
    <xf numFmtId="166" fontId="93" fillId="0" borderId="0" xfId="2" applyNumberFormat="1" applyFont="1" applyAlignment="1">
      <alignment horizontal="left"/>
    </xf>
    <xf numFmtId="0" fontId="51" fillId="0" borderId="0" xfId="239" applyFont="1" applyAlignment="1">
      <alignment horizontal="center" wrapText="1"/>
    </xf>
  </cellXfs>
  <cellStyles count="9027">
    <cellStyle name="20% - Accent1 2" xfId="3" xr:uid="{00000000-0005-0000-0000-000000000000}"/>
    <cellStyle name="20% - Accent1 2 2" xfId="125" xr:uid="{00000000-0005-0000-0000-000001000000}"/>
    <cellStyle name="20% - Accent1 2 2 2" xfId="281" xr:uid="{00000000-0005-0000-0000-000002000000}"/>
    <cellStyle name="20% - Accent1 2 2 3" xfId="280" xr:uid="{00000000-0005-0000-0000-000003000000}"/>
    <cellStyle name="20% - Accent1 2 3" xfId="282" xr:uid="{00000000-0005-0000-0000-000004000000}"/>
    <cellStyle name="20% - Accent1 2 4" xfId="283" xr:uid="{00000000-0005-0000-0000-000005000000}"/>
    <cellStyle name="20% - Accent1 2 5" xfId="284" xr:uid="{00000000-0005-0000-0000-000006000000}"/>
    <cellStyle name="20% - Accent1 3" xfId="124" xr:uid="{00000000-0005-0000-0000-000007000000}"/>
    <cellStyle name="20% - Accent1 3 2" xfId="286" xr:uid="{00000000-0005-0000-0000-000008000000}"/>
    <cellStyle name="20% - Accent1 3 2 2" xfId="287" xr:uid="{00000000-0005-0000-0000-000009000000}"/>
    <cellStyle name="20% - Accent1 3 3" xfId="288" xr:uid="{00000000-0005-0000-0000-00000A000000}"/>
    <cellStyle name="20% - Accent1 3 4" xfId="285" xr:uid="{00000000-0005-0000-0000-00000B000000}"/>
    <cellStyle name="20% - Accent1 4" xfId="289" xr:uid="{00000000-0005-0000-0000-00000C000000}"/>
    <cellStyle name="20% - Accent1 4 2" xfId="290" xr:uid="{00000000-0005-0000-0000-00000D000000}"/>
    <cellStyle name="20% - Accent1 4 3" xfId="291" xr:uid="{00000000-0005-0000-0000-00000E000000}"/>
    <cellStyle name="20% - Accent1 5" xfId="292" xr:uid="{00000000-0005-0000-0000-00000F000000}"/>
    <cellStyle name="20% - Accent1 6" xfId="293" xr:uid="{00000000-0005-0000-0000-000010000000}"/>
    <cellStyle name="20% - Accent2 2" xfId="127" xr:uid="{00000000-0005-0000-0000-000011000000}"/>
    <cellStyle name="20% - Accent2 2 2" xfId="294" xr:uid="{00000000-0005-0000-0000-000012000000}"/>
    <cellStyle name="20% - Accent2 2 3" xfId="295" xr:uid="{00000000-0005-0000-0000-000013000000}"/>
    <cellStyle name="20% - Accent2 3" xfId="126" xr:uid="{00000000-0005-0000-0000-000014000000}"/>
    <cellStyle name="20% - Accent2 3 2" xfId="297" xr:uid="{00000000-0005-0000-0000-000015000000}"/>
    <cellStyle name="20% - Accent2 3 3" xfId="298" xr:uid="{00000000-0005-0000-0000-000016000000}"/>
    <cellStyle name="20% - Accent2 3 4" xfId="296" xr:uid="{00000000-0005-0000-0000-000017000000}"/>
    <cellStyle name="20% - Accent2 4" xfId="299" xr:uid="{00000000-0005-0000-0000-000018000000}"/>
    <cellStyle name="20% - Accent2 4 2" xfId="300" xr:uid="{00000000-0005-0000-0000-000019000000}"/>
    <cellStyle name="20% - Accent2 5" xfId="301" xr:uid="{00000000-0005-0000-0000-00001A000000}"/>
    <cellStyle name="20% - Accent2 6" xfId="302" xr:uid="{00000000-0005-0000-0000-00001B000000}"/>
    <cellStyle name="20% - Accent3 2" xfId="129" xr:uid="{00000000-0005-0000-0000-00001C000000}"/>
    <cellStyle name="20% - Accent3 2 2" xfId="303" xr:uid="{00000000-0005-0000-0000-00001D000000}"/>
    <cellStyle name="20% - Accent3 3" xfId="128" xr:uid="{00000000-0005-0000-0000-00001E000000}"/>
    <cellStyle name="20% - Accent3 3 2" xfId="305" xr:uid="{00000000-0005-0000-0000-00001F000000}"/>
    <cellStyle name="20% - Accent3 3 3" xfId="306" xr:uid="{00000000-0005-0000-0000-000020000000}"/>
    <cellStyle name="20% - Accent3 3 4" xfId="304" xr:uid="{00000000-0005-0000-0000-000021000000}"/>
    <cellStyle name="20% - Accent3 4" xfId="307" xr:uid="{00000000-0005-0000-0000-000022000000}"/>
    <cellStyle name="20% - Accent3 4 2" xfId="308" xr:uid="{00000000-0005-0000-0000-000023000000}"/>
    <cellStyle name="20% - Accent3 5" xfId="309" xr:uid="{00000000-0005-0000-0000-000024000000}"/>
    <cellStyle name="20% - Accent3 6" xfId="310" xr:uid="{00000000-0005-0000-0000-000025000000}"/>
    <cellStyle name="20% - Accent4 2" xfId="4" xr:uid="{00000000-0005-0000-0000-000026000000}"/>
    <cellStyle name="20% - Accent4 2 2" xfId="131" xr:uid="{00000000-0005-0000-0000-000027000000}"/>
    <cellStyle name="20% - Accent4 2 2 2" xfId="312" xr:uid="{00000000-0005-0000-0000-000028000000}"/>
    <cellStyle name="20% - Accent4 2 2 3" xfId="311" xr:uid="{00000000-0005-0000-0000-000029000000}"/>
    <cellStyle name="20% - Accent4 2 3" xfId="313" xr:uid="{00000000-0005-0000-0000-00002A000000}"/>
    <cellStyle name="20% - Accent4 3" xfId="130" xr:uid="{00000000-0005-0000-0000-00002B000000}"/>
    <cellStyle name="20% - Accent4 3 2" xfId="315" xr:uid="{00000000-0005-0000-0000-00002C000000}"/>
    <cellStyle name="20% - Accent4 3 2 2" xfId="316" xr:uid="{00000000-0005-0000-0000-00002D000000}"/>
    <cellStyle name="20% - Accent4 3 3" xfId="317" xr:uid="{00000000-0005-0000-0000-00002E000000}"/>
    <cellStyle name="20% - Accent4 3 4" xfId="314" xr:uid="{00000000-0005-0000-0000-00002F000000}"/>
    <cellStyle name="20% - Accent4 4" xfId="318" xr:uid="{00000000-0005-0000-0000-000030000000}"/>
    <cellStyle name="20% - Accent4 4 2" xfId="319" xr:uid="{00000000-0005-0000-0000-000031000000}"/>
    <cellStyle name="20% - Accent4 4 3" xfId="320" xr:uid="{00000000-0005-0000-0000-000032000000}"/>
    <cellStyle name="20% - Accent4 5" xfId="321" xr:uid="{00000000-0005-0000-0000-000033000000}"/>
    <cellStyle name="20% - Accent4 6" xfId="322" xr:uid="{00000000-0005-0000-0000-000034000000}"/>
    <cellStyle name="20% - Accent5" xfId="273" builtinId="46" customBuiltin="1"/>
    <cellStyle name="20% - Accent5 2" xfId="133" xr:uid="{00000000-0005-0000-0000-000036000000}"/>
    <cellStyle name="20% - Accent5 2 2" xfId="323" xr:uid="{00000000-0005-0000-0000-000037000000}"/>
    <cellStyle name="20% - Accent5 3" xfId="132" xr:uid="{00000000-0005-0000-0000-000038000000}"/>
    <cellStyle name="20% - Accent5 3 2" xfId="324" xr:uid="{00000000-0005-0000-0000-000039000000}"/>
    <cellStyle name="20% - Accent5 3 3" xfId="325" xr:uid="{00000000-0005-0000-0000-00003A000000}"/>
    <cellStyle name="20% - Accent5 4" xfId="326" xr:uid="{00000000-0005-0000-0000-00003B000000}"/>
    <cellStyle name="20% - Accent5 4 2" xfId="327" xr:uid="{00000000-0005-0000-0000-00003C000000}"/>
    <cellStyle name="20% - Accent5 5" xfId="328" xr:uid="{00000000-0005-0000-0000-00003D000000}"/>
    <cellStyle name="20% - Accent6" xfId="277" builtinId="50" customBuiltin="1"/>
    <cellStyle name="20% - Accent6 2" xfId="135" xr:uid="{00000000-0005-0000-0000-00003F000000}"/>
    <cellStyle name="20% - Accent6 2 2" xfId="329" xr:uid="{00000000-0005-0000-0000-000040000000}"/>
    <cellStyle name="20% - Accent6 2 3" xfId="330" xr:uid="{00000000-0005-0000-0000-000041000000}"/>
    <cellStyle name="20% - Accent6 3" xfId="134" xr:uid="{00000000-0005-0000-0000-000042000000}"/>
    <cellStyle name="20% - Accent6 3 2" xfId="332" xr:uid="{00000000-0005-0000-0000-000043000000}"/>
    <cellStyle name="20% - Accent6 3 3" xfId="333" xr:uid="{00000000-0005-0000-0000-000044000000}"/>
    <cellStyle name="20% - Accent6 3 4" xfId="331" xr:uid="{00000000-0005-0000-0000-000045000000}"/>
    <cellStyle name="20% - Accent6 4" xfId="334" xr:uid="{00000000-0005-0000-0000-000046000000}"/>
    <cellStyle name="20% - Accent6 4 2" xfId="335" xr:uid="{00000000-0005-0000-0000-000047000000}"/>
    <cellStyle name="20% - Accent6 5" xfId="336" xr:uid="{00000000-0005-0000-0000-000048000000}"/>
    <cellStyle name="40% - Accent1" xfId="264" builtinId="31" customBuiltin="1"/>
    <cellStyle name="40% - Accent1 2" xfId="5" xr:uid="{00000000-0005-0000-0000-00004A000000}"/>
    <cellStyle name="40% - Accent1 2 2" xfId="137" xr:uid="{00000000-0005-0000-0000-00004B000000}"/>
    <cellStyle name="40% - Accent1 2 2 2" xfId="337" xr:uid="{00000000-0005-0000-0000-00004C000000}"/>
    <cellStyle name="40% - Accent1 2 3" xfId="338" xr:uid="{00000000-0005-0000-0000-00004D000000}"/>
    <cellStyle name="40% - Accent1 3" xfId="136" xr:uid="{00000000-0005-0000-0000-00004E000000}"/>
    <cellStyle name="40% - Accent1 3 2" xfId="340" xr:uid="{00000000-0005-0000-0000-00004F000000}"/>
    <cellStyle name="40% - Accent1 3 2 2" xfId="341" xr:uid="{00000000-0005-0000-0000-000050000000}"/>
    <cellStyle name="40% - Accent1 3 3" xfId="342" xr:uid="{00000000-0005-0000-0000-000051000000}"/>
    <cellStyle name="40% - Accent1 3 4" xfId="339" xr:uid="{00000000-0005-0000-0000-000052000000}"/>
    <cellStyle name="40% - Accent1 4" xfId="343" xr:uid="{00000000-0005-0000-0000-000053000000}"/>
    <cellStyle name="40% - Accent1 4 2" xfId="344" xr:uid="{00000000-0005-0000-0000-000054000000}"/>
    <cellStyle name="40% - Accent1 5" xfId="345" xr:uid="{00000000-0005-0000-0000-000055000000}"/>
    <cellStyle name="40% - Accent1 6" xfId="346" xr:uid="{00000000-0005-0000-0000-000056000000}"/>
    <cellStyle name="40% - Accent2" xfId="267" builtinId="35" customBuiltin="1"/>
    <cellStyle name="40% - Accent2 2" xfId="139" xr:uid="{00000000-0005-0000-0000-000058000000}"/>
    <cellStyle name="40% - Accent2 2 2" xfId="347" xr:uid="{00000000-0005-0000-0000-000059000000}"/>
    <cellStyle name="40% - Accent2 3" xfId="138" xr:uid="{00000000-0005-0000-0000-00005A000000}"/>
    <cellStyle name="40% - Accent2 3 2" xfId="348" xr:uid="{00000000-0005-0000-0000-00005B000000}"/>
    <cellStyle name="40% - Accent2 3 3" xfId="349" xr:uid="{00000000-0005-0000-0000-00005C000000}"/>
    <cellStyle name="40% - Accent2 4" xfId="350" xr:uid="{00000000-0005-0000-0000-00005D000000}"/>
    <cellStyle name="40% - Accent2 4 2" xfId="351" xr:uid="{00000000-0005-0000-0000-00005E000000}"/>
    <cellStyle name="40% - Accent2 5" xfId="352" xr:uid="{00000000-0005-0000-0000-00005F000000}"/>
    <cellStyle name="40% - Accent3 2" xfId="141" xr:uid="{00000000-0005-0000-0000-000060000000}"/>
    <cellStyle name="40% - Accent3 2 2" xfId="353" xr:uid="{00000000-0005-0000-0000-000061000000}"/>
    <cellStyle name="40% - Accent3 2 3" xfId="354" xr:uid="{00000000-0005-0000-0000-000062000000}"/>
    <cellStyle name="40% - Accent3 3" xfId="140" xr:uid="{00000000-0005-0000-0000-000063000000}"/>
    <cellStyle name="40% - Accent3 3 2" xfId="356" xr:uid="{00000000-0005-0000-0000-000064000000}"/>
    <cellStyle name="40% - Accent3 3 3" xfId="357" xr:uid="{00000000-0005-0000-0000-000065000000}"/>
    <cellStyle name="40% - Accent3 3 4" xfId="355" xr:uid="{00000000-0005-0000-0000-000066000000}"/>
    <cellStyle name="40% - Accent3 4" xfId="358" xr:uid="{00000000-0005-0000-0000-000067000000}"/>
    <cellStyle name="40% - Accent3 4 2" xfId="359" xr:uid="{00000000-0005-0000-0000-000068000000}"/>
    <cellStyle name="40% - Accent3 5" xfId="360" xr:uid="{00000000-0005-0000-0000-000069000000}"/>
    <cellStyle name="40% - Accent3 6" xfId="361" xr:uid="{00000000-0005-0000-0000-00006A000000}"/>
    <cellStyle name="40% - Accent4" xfId="271" builtinId="43" customBuiltin="1"/>
    <cellStyle name="40% - Accent4 2" xfId="6" xr:uid="{00000000-0005-0000-0000-00006C000000}"/>
    <cellStyle name="40% - Accent4 2 2" xfId="143" xr:uid="{00000000-0005-0000-0000-00006D000000}"/>
    <cellStyle name="40% - Accent4 2 2 2" xfId="363" xr:uid="{00000000-0005-0000-0000-00006E000000}"/>
    <cellStyle name="40% - Accent4 2 3" xfId="364" xr:uid="{00000000-0005-0000-0000-00006F000000}"/>
    <cellStyle name="40% - Accent4 3" xfId="142" xr:uid="{00000000-0005-0000-0000-000070000000}"/>
    <cellStyle name="40% - Accent4 3 2" xfId="366" xr:uid="{00000000-0005-0000-0000-000071000000}"/>
    <cellStyle name="40% - Accent4 3 2 2" xfId="367" xr:uid="{00000000-0005-0000-0000-000072000000}"/>
    <cellStyle name="40% - Accent4 3 3" xfId="368" xr:uid="{00000000-0005-0000-0000-000073000000}"/>
    <cellStyle name="40% - Accent4 3 4" xfId="365" xr:uid="{00000000-0005-0000-0000-000074000000}"/>
    <cellStyle name="40% - Accent4 4" xfId="369" xr:uid="{00000000-0005-0000-0000-000075000000}"/>
    <cellStyle name="40% - Accent4 4 2" xfId="370" xr:uid="{00000000-0005-0000-0000-000076000000}"/>
    <cellStyle name="40% - Accent4 5" xfId="371" xr:uid="{00000000-0005-0000-0000-000077000000}"/>
    <cellStyle name="40% - Accent4 6" xfId="372" xr:uid="{00000000-0005-0000-0000-000078000000}"/>
    <cellStyle name="40% - Accent5" xfId="274" builtinId="47" customBuiltin="1"/>
    <cellStyle name="40% - Accent5 2" xfId="7" xr:uid="{00000000-0005-0000-0000-00007A000000}"/>
    <cellStyle name="40% - Accent5 2 2" xfId="145" xr:uid="{00000000-0005-0000-0000-00007B000000}"/>
    <cellStyle name="40% - Accent5 2 2 2" xfId="373" xr:uid="{00000000-0005-0000-0000-00007C000000}"/>
    <cellStyle name="40% - Accent5 2 3" xfId="374" xr:uid="{00000000-0005-0000-0000-00007D000000}"/>
    <cellStyle name="40% - Accent5 3" xfId="144" xr:uid="{00000000-0005-0000-0000-00007E000000}"/>
    <cellStyle name="40% - Accent5 3 2" xfId="376" xr:uid="{00000000-0005-0000-0000-00007F000000}"/>
    <cellStyle name="40% - Accent5 3 3" xfId="377" xr:uid="{00000000-0005-0000-0000-000080000000}"/>
    <cellStyle name="40% - Accent5 3 4" xfId="375" xr:uid="{00000000-0005-0000-0000-000081000000}"/>
    <cellStyle name="40% - Accent5 4" xfId="378" xr:uid="{00000000-0005-0000-0000-000082000000}"/>
    <cellStyle name="40% - Accent5 4 2" xfId="379" xr:uid="{00000000-0005-0000-0000-000083000000}"/>
    <cellStyle name="40% - Accent5 5" xfId="380" xr:uid="{00000000-0005-0000-0000-000084000000}"/>
    <cellStyle name="40% - Accent6" xfId="278" builtinId="51" customBuiltin="1"/>
    <cellStyle name="40% - Accent6 2" xfId="8" xr:uid="{00000000-0005-0000-0000-000086000000}"/>
    <cellStyle name="40% - Accent6 2 2" xfId="147" xr:uid="{00000000-0005-0000-0000-000087000000}"/>
    <cellStyle name="40% - Accent6 2 2 2" xfId="382" xr:uid="{00000000-0005-0000-0000-000088000000}"/>
    <cellStyle name="40% - Accent6 2 2 3" xfId="381" xr:uid="{00000000-0005-0000-0000-000089000000}"/>
    <cellStyle name="40% - Accent6 2 3" xfId="383" xr:uid="{00000000-0005-0000-0000-00008A000000}"/>
    <cellStyle name="40% - Accent6 3" xfId="146" xr:uid="{00000000-0005-0000-0000-00008B000000}"/>
    <cellStyle name="40% - Accent6 3 2" xfId="385" xr:uid="{00000000-0005-0000-0000-00008C000000}"/>
    <cellStyle name="40% - Accent6 3 2 2" xfId="386" xr:uid="{00000000-0005-0000-0000-00008D000000}"/>
    <cellStyle name="40% - Accent6 3 3" xfId="387" xr:uid="{00000000-0005-0000-0000-00008E000000}"/>
    <cellStyle name="40% - Accent6 3 4" xfId="384" xr:uid="{00000000-0005-0000-0000-00008F000000}"/>
    <cellStyle name="40% - Accent6 4" xfId="388" xr:uid="{00000000-0005-0000-0000-000090000000}"/>
    <cellStyle name="40% - Accent6 4 2" xfId="389" xr:uid="{00000000-0005-0000-0000-000091000000}"/>
    <cellStyle name="40% - Accent6 5" xfId="390" xr:uid="{00000000-0005-0000-0000-000092000000}"/>
    <cellStyle name="40% - Accent6 6" xfId="391" xr:uid="{00000000-0005-0000-0000-000093000000}"/>
    <cellStyle name="60% - Accent1" xfId="265" builtinId="32" customBuiltin="1"/>
    <cellStyle name="60% - Accent1 2" xfId="9" xr:uid="{00000000-0005-0000-0000-000095000000}"/>
    <cellStyle name="60% - Accent1 2 2" xfId="149" xr:uid="{00000000-0005-0000-0000-000096000000}"/>
    <cellStyle name="60% - Accent1 2 2 2" xfId="393" xr:uid="{00000000-0005-0000-0000-000097000000}"/>
    <cellStyle name="60% - Accent1 2 2 3" xfId="392" xr:uid="{00000000-0005-0000-0000-000098000000}"/>
    <cellStyle name="60% - Accent1 2 3" xfId="394" xr:uid="{00000000-0005-0000-0000-000099000000}"/>
    <cellStyle name="60% - Accent1 2 4" xfId="395" xr:uid="{00000000-0005-0000-0000-00009A000000}"/>
    <cellStyle name="60% - Accent1 3" xfId="148" xr:uid="{00000000-0005-0000-0000-00009B000000}"/>
    <cellStyle name="60% - Accent1 3 2" xfId="397" xr:uid="{00000000-0005-0000-0000-00009C000000}"/>
    <cellStyle name="60% - Accent1 3 3" xfId="398" xr:uid="{00000000-0005-0000-0000-00009D000000}"/>
    <cellStyle name="60% - Accent1 3 4" xfId="396" xr:uid="{00000000-0005-0000-0000-00009E000000}"/>
    <cellStyle name="60% - Accent1 4" xfId="399" xr:uid="{00000000-0005-0000-0000-00009F000000}"/>
    <cellStyle name="60% - Accent1 4 2" xfId="400" xr:uid="{00000000-0005-0000-0000-0000A0000000}"/>
    <cellStyle name="60% - Accent2" xfId="268" builtinId="36" customBuiltin="1"/>
    <cellStyle name="60% - Accent2 2" xfId="10" xr:uid="{00000000-0005-0000-0000-0000A2000000}"/>
    <cellStyle name="60% - Accent2 2 2" xfId="151" xr:uid="{00000000-0005-0000-0000-0000A3000000}"/>
    <cellStyle name="60% - Accent2 2 2 2" xfId="401" xr:uid="{00000000-0005-0000-0000-0000A4000000}"/>
    <cellStyle name="60% - Accent2 2 3" xfId="402" xr:uid="{00000000-0005-0000-0000-0000A5000000}"/>
    <cellStyle name="60% - Accent2 3" xfId="150" xr:uid="{00000000-0005-0000-0000-0000A6000000}"/>
    <cellStyle name="60% - Accent2 3 2" xfId="404" xr:uid="{00000000-0005-0000-0000-0000A7000000}"/>
    <cellStyle name="60% - Accent2 3 3" xfId="403" xr:uid="{00000000-0005-0000-0000-0000A8000000}"/>
    <cellStyle name="60% - Accent2 4" xfId="405" xr:uid="{00000000-0005-0000-0000-0000A9000000}"/>
    <cellStyle name="60% - Accent3 2" xfId="11" xr:uid="{00000000-0005-0000-0000-0000AA000000}"/>
    <cellStyle name="60% - Accent3 2 2" xfId="153" xr:uid="{00000000-0005-0000-0000-0000AB000000}"/>
    <cellStyle name="60% - Accent3 2 2 2" xfId="406" xr:uid="{00000000-0005-0000-0000-0000AC000000}"/>
    <cellStyle name="60% - Accent3 2 3" xfId="407" xr:uid="{00000000-0005-0000-0000-0000AD000000}"/>
    <cellStyle name="60% - Accent3 3" xfId="152" xr:uid="{00000000-0005-0000-0000-0000AE000000}"/>
    <cellStyle name="60% - Accent3 3 2" xfId="409" xr:uid="{00000000-0005-0000-0000-0000AF000000}"/>
    <cellStyle name="60% - Accent3 3 3" xfId="410" xr:uid="{00000000-0005-0000-0000-0000B0000000}"/>
    <cellStyle name="60% - Accent3 3 4" xfId="408" xr:uid="{00000000-0005-0000-0000-0000B1000000}"/>
    <cellStyle name="60% - Accent3 4" xfId="411" xr:uid="{00000000-0005-0000-0000-0000B2000000}"/>
    <cellStyle name="60% - Accent3 4 2" xfId="412" xr:uid="{00000000-0005-0000-0000-0000B3000000}"/>
    <cellStyle name="60% - Accent3 4 3" xfId="413" xr:uid="{00000000-0005-0000-0000-0000B4000000}"/>
    <cellStyle name="60% - Accent4 2" xfId="12" xr:uid="{00000000-0005-0000-0000-0000B5000000}"/>
    <cellStyle name="60% - Accent4 2 2" xfId="155" xr:uid="{00000000-0005-0000-0000-0000B6000000}"/>
    <cellStyle name="60% - Accent4 2 2 2" xfId="414" xr:uid="{00000000-0005-0000-0000-0000B7000000}"/>
    <cellStyle name="60% - Accent4 2 3" xfId="415" xr:uid="{00000000-0005-0000-0000-0000B8000000}"/>
    <cellStyle name="60% - Accent4 3" xfId="154" xr:uid="{00000000-0005-0000-0000-0000B9000000}"/>
    <cellStyle name="60% - Accent4 3 2" xfId="417" xr:uid="{00000000-0005-0000-0000-0000BA000000}"/>
    <cellStyle name="60% - Accent4 3 3" xfId="418" xr:uid="{00000000-0005-0000-0000-0000BB000000}"/>
    <cellStyle name="60% - Accent4 3 4" xfId="416" xr:uid="{00000000-0005-0000-0000-0000BC000000}"/>
    <cellStyle name="60% - Accent4 4" xfId="419" xr:uid="{00000000-0005-0000-0000-0000BD000000}"/>
    <cellStyle name="60% - Accent4 4 2" xfId="420" xr:uid="{00000000-0005-0000-0000-0000BE000000}"/>
    <cellStyle name="60% - Accent4 4 3" xfId="421" xr:uid="{00000000-0005-0000-0000-0000BF000000}"/>
    <cellStyle name="60% - Accent5" xfId="275" builtinId="48" customBuiltin="1"/>
    <cellStyle name="60% - Accent5 2" xfId="13" xr:uid="{00000000-0005-0000-0000-0000C1000000}"/>
    <cellStyle name="60% - Accent5 2 2" xfId="157" xr:uid="{00000000-0005-0000-0000-0000C2000000}"/>
    <cellStyle name="60% - Accent5 2 2 2" xfId="423" xr:uid="{00000000-0005-0000-0000-0000C3000000}"/>
    <cellStyle name="60% - Accent5 2 2 3" xfId="422" xr:uid="{00000000-0005-0000-0000-0000C4000000}"/>
    <cellStyle name="60% - Accent5 2 3" xfId="424" xr:uid="{00000000-0005-0000-0000-0000C5000000}"/>
    <cellStyle name="60% - Accent5 2 4" xfId="425" xr:uid="{00000000-0005-0000-0000-0000C6000000}"/>
    <cellStyle name="60% - Accent5 3" xfId="156" xr:uid="{00000000-0005-0000-0000-0000C7000000}"/>
    <cellStyle name="60% - Accent5 3 2" xfId="427" xr:uid="{00000000-0005-0000-0000-0000C8000000}"/>
    <cellStyle name="60% - Accent5 3 3" xfId="426" xr:uid="{00000000-0005-0000-0000-0000C9000000}"/>
    <cellStyle name="60% - Accent5 4" xfId="428" xr:uid="{00000000-0005-0000-0000-0000CA000000}"/>
    <cellStyle name="60% - Accent6 2" xfId="159" xr:uid="{00000000-0005-0000-0000-0000CB000000}"/>
    <cellStyle name="60% - Accent6 2 2" xfId="429" xr:uid="{00000000-0005-0000-0000-0000CC000000}"/>
    <cellStyle name="60% - Accent6 2 3" xfId="430" xr:uid="{00000000-0005-0000-0000-0000CD000000}"/>
    <cellStyle name="60% - Accent6 3" xfId="158" xr:uid="{00000000-0005-0000-0000-0000CE000000}"/>
    <cellStyle name="60% - Accent6 3 2" xfId="432" xr:uid="{00000000-0005-0000-0000-0000CF000000}"/>
    <cellStyle name="60% - Accent6 3 3" xfId="431" xr:uid="{00000000-0005-0000-0000-0000D0000000}"/>
    <cellStyle name="60% - Accent6 4" xfId="433" xr:uid="{00000000-0005-0000-0000-0000D1000000}"/>
    <cellStyle name="Accent1" xfId="263" builtinId="29" customBuiltin="1"/>
    <cellStyle name="Accent1 2" xfId="14" xr:uid="{00000000-0005-0000-0000-0000D3000000}"/>
    <cellStyle name="Accent1 2 2" xfId="161" xr:uid="{00000000-0005-0000-0000-0000D4000000}"/>
    <cellStyle name="Accent1 2 2 2" xfId="435" xr:uid="{00000000-0005-0000-0000-0000D5000000}"/>
    <cellStyle name="Accent1 2 2 3" xfId="434" xr:uid="{00000000-0005-0000-0000-0000D6000000}"/>
    <cellStyle name="Accent1 2 3" xfId="436" xr:uid="{00000000-0005-0000-0000-0000D7000000}"/>
    <cellStyle name="Accent1 2 4" xfId="437" xr:uid="{00000000-0005-0000-0000-0000D8000000}"/>
    <cellStyle name="Accent1 3" xfId="160" xr:uid="{00000000-0005-0000-0000-0000D9000000}"/>
    <cellStyle name="Accent1 3 2" xfId="439" xr:uid="{00000000-0005-0000-0000-0000DA000000}"/>
    <cellStyle name="Accent1 3 3" xfId="440" xr:uid="{00000000-0005-0000-0000-0000DB000000}"/>
    <cellStyle name="Accent1 3 4" xfId="438" xr:uid="{00000000-0005-0000-0000-0000DC000000}"/>
    <cellStyle name="Accent1 4" xfId="441" xr:uid="{00000000-0005-0000-0000-0000DD000000}"/>
    <cellStyle name="Accent1 4 2" xfId="442" xr:uid="{00000000-0005-0000-0000-0000DE000000}"/>
    <cellStyle name="Accent2" xfId="266" builtinId="33" customBuiltin="1"/>
    <cellStyle name="Accent2 2" xfId="15" xr:uid="{00000000-0005-0000-0000-0000E0000000}"/>
    <cellStyle name="Accent2 2 2" xfId="163" xr:uid="{00000000-0005-0000-0000-0000E1000000}"/>
    <cellStyle name="Accent2 2 2 2" xfId="443" xr:uid="{00000000-0005-0000-0000-0000E2000000}"/>
    <cellStyle name="Accent2 2 3" xfId="444" xr:uid="{00000000-0005-0000-0000-0000E3000000}"/>
    <cellStyle name="Accent2 3" xfId="162" xr:uid="{00000000-0005-0000-0000-0000E4000000}"/>
    <cellStyle name="Accent2 3 2" xfId="446" xr:uid="{00000000-0005-0000-0000-0000E5000000}"/>
    <cellStyle name="Accent2 3 3" xfId="445" xr:uid="{00000000-0005-0000-0000-0000E6000000}"/>
    <cellStyle name="Accent2 4" xfId="447" xr:uid="{00000000-0005-0000-0000-0000E7000000}"/>
    <cellStyle name="Accent3" xfId="269" builtinId="37" customBuiltin="1"/>
    <cellStyle name="Accent3 2" xfId="16" xr:uid="{00000000-0005-0000-0000-0000E9000000}"/>
    <cellStyle name="Accent3 2 2" xfId="165" xr:uid="{00000000-0005-0000-0000-0000EA000000}"/>
    <cellStyle name="Accent3 2 2 2" xfId="448" xr:uid="{00000000-0005-0000-0000-0000EB000000}"/>
    <cellStyle name="Accent3 2 3" xfId="449" xr:uid="{00000000-0005-0000-0000-0000EC000000}"/>
    <cellStyle name="Accent3 2 4" xfId="450" xr:uid="{00000000-0005-0000-0000-0000ED000000}"/>
    <cellStyle name="Accent3 3" xfId="164" xr:uid="{00000000-0005-0000-0000-0000EE000000}"/>
    <cellStyle name="Accent3 3 2" xfId="452" xr:uid="{00000000-0005-0000-0000-0000EF000000}"/>
    <cellStyle name="Accent3 3 3" xfId="451" xr:uid="{00000000-0005-0000-0000-0000F0000000}"/>
    <cellStyle name="Accent3 4" xfId="453" xr:uid="{00000000-0005-0000-0000-0000F1000000}"/>
    <cellStyle name="Accent4" xfId="270" builtinId="41" customBuiltin="1"/>
    <cellStyle name="Accent4 2" xfId="167" xr:uid="{00000000-0005-0000-0000-0000F3000000}"/>
    <cellStyle name="Accent4 2 2" xfId="455" xr:uid="{00000000-0005-0000-0000-0000F4000000}"/>
    <cellStyle name="Accent4 2 2 2" xfId="456" xr:uid="{00000000-0005-0000-0000-0000F5000000}"/>
    <cellStyle name="Accent4 2 3" xfId="457" xr:uid="{00000000-0005-0000-0000-0000F6000000}"/>
    <cellStyle name="Accent4 2 4" xfId="454" xr:uid="{00000000-0005-0000-0000-0000F7000000}"/>
    <cellStyle name="Accent4 3" xfId="166" xr:uid="{00000000-0005-0000-0000-0000F8000000}"/>
    <cellStyle name="Accent4 3 2" xfId="459" xr:uid="{00000000-0005-0000-0000-0000F9000000}"/>
    <cellStyle name="Accent4 3 3" xfId="458" xr:uid="{00000000-0005-0000-0000-0000FA000000}"/>
    <cellStyle name="Accent4 4" xfId="460" xr:uid="{00000000-0005-0000-0000-0000FB000000}"/>
    <cellStyle name="Accent5" xfId="272" builtinId="45" customBuiltin="1"/>
    <cellStyle name="Accent5 2" xfId="169" xr:uid="{00000000-0005-0000-0000-0000FD000000}"/>
    <cellStyle name="Accent5 2 2" xfId="462" xr:uid="{00000000-0005-0000-0000-0000FE000000}"/>
    <cellStyle name="Accent5 2 2 2" xfId="463" xr:uid="{00000000-0005-0000-0000-0000FF000000}"/>
    <cellStyle name="Accent5 2 3" xfId="464" xr:uid="{00000000-0005-0000-0000-000000010000}"/>
    <cellStyle name="Accent5 2 3 2" xfId="465" xr:uid="{00000000-0005-0000-0000-000001010000}"/>
    <cellStyle name="Accent5 2 4" xfId="466" xr:uid="{00000000-0005-0000-0000-000002010000}"/>
    <cellStyle name="Accent5 2 5" xfId="461" xr:uid="{00000000-0005-0000-0000-000003010000}"/>
    <cellStyle name="Accent5 3" xfId="168" xr:uid="{00000000-0005-0000-0000-000004010000}"/>
    <cellStyle name="Accent5 4" xfId="467" xr:uid="{00000000-0005-0000-0000-000005010000}"/>
    <cellStyle name="Accent6" xfId="276" builtinId="49" customBuiltin="1"/>
    <cellStyle name="Accent6 2" xfId="17" xr:uid="{00000000-0005-0000-0000-000007010000}"/>
    <cellStyle name="Accent6 2 2" xfId="171" xr:uid="{00000000-0005-0000-0000-000008010000}"/>
    <cellStyle name="Accent6 2 2 2" xfId="468" xr:uid="{00000000-0005-0000-0000-000009010000}"/>
    <cellStyle name="Accent6 2 3" xfId="469" xr:uid="{00000000-0005-0000-0000-00000A010000}"/>
    <cellStyle name="Accent6 2 4" xfId="470" xr:uid="{00000000-0005-0000-0000-00000B010000}"/>
    <cellStyle name="Accent6 3" xfId="170" xr:uid="{00000000-0005-0000-0000-00000C010000}"/>
    <cellStyle name="Accent6 3 2" xfId="472" xr:uid="{00000000-0005-0000-0000-00000D010000}"/>
    <cellStyle name="Accent6 3 3" xfId="471" xr:uid="{00000000-0005-0000-0000-00000E010000}"/>
    <cellStyle name="Accent6 4" xfId="473" xr:uid="{00000000-0005-0000-0000-00000F010000}"/>
    <cellStyle name="Accounting" xfId="18" xr:uid="{00000000-0005-0000-0000-000010010000}"/>
    <cellStyle name="Accounting 2" xfId="474" xr:uid="{00000000-0005-0000-0000-000011010000}"/>
    <cellStyle name="Accounting 2 2" xfId="475" xr:uid="{00000000-0005-0000-0000-000012010000}"/>
    <cellStyle name="Accounting 3" xfId="476" xr:uid="{00000000-0005-0000-0000-000013010000}"/>
    <cellStyle name="Accounting 3 2" xfId="477" xr:uid="{00000000-0005-0000-0000-000014010000}"/>
    <cellStyle name="Accounting 4" xfId="478" xr:uid="{00000000-0005-0000-0000-000015010000}"/>
    <cellStyle name="Accounting_2011-11" xfId="479" xr:uid="{00000000-0005-0000-0000-000016010000}"/>
    <cellStyle name="APS" xfId="480" xr:uid="{00000000-0005-0000-0000-000017010000}"/>
    <cellStyle name="APSLabels" xfId="481" xr:uid="{00000000-0005-0000-0000-000018010000}"/>
    <cellStyle name="APSLabels 2" xfId="482" xr:uid="{00000000-0005-0000-0000-000019010000}"/>
    <cellStyle name="APSLabels 2 2" xfId="483" xr:uid="{00000000-0005-0000-0000-00001A010000}"/>
    <cellStyle name="APSLabels 3" xfId="484" xr:uid="{00000000-0005-0000-0000-00001B010000}"/>
    <cellStyle name="APSLabels 4" xfId="485" xr:uid="{00000000-0005-0000-0000-00001C010000}"/>
    <cellStyle name="Bad" xfId="256" builtinId="27" customBuiltin="1"/>
    <cellStyle name="Bad 2" xfId="19" xr:uid="{00000000-0005-0000-0000-00001E010000}"/>
    <cellStyle name="Bad 2 2" xfId="173" xr:uid="{00000000-0005-0000-0000-00001F010000}"/>
    <cellStyle name="Bad 2 2 2" xfId="486" xr:uid="{00000000-0005-0000-0000-000020010000}"/>
    <cellStyle name="Bad 2 3" xfId="487" xr:uid="{00000000-0005-0000-0000-000021010000}"/>
    <cellStyle name="Bad 3" xfId="172" xr:uid="{00000000-0005-0000-0000-000022010000}"/>
    <cellStyle name="Bad 3 2" xfId="489" xr:uid="{00000000-0005-0000-0000-000023010000}"/>
    <cellStyle name="Bad 3 3" xfId="488" xr:uid="{00000000-0005-0000-0000-000024010000}"/>
    <cellStyle name="Bad 4" xfId="490" xr:uid="{00000000-0005-0000-0000-000025010000}"/>
    <cellStyle name="Budget" xfId="20" xr:uid="{00000000-0005-0000-0000-000026010000}"/>
    <cellStyle name="Budget 2" xfId="491" xr:uid="{00000000-0005-0000-0000-000027010000}"/>
    <cellStyle name="Budget 3" xfId="492" xr:uid="{00000000-0005-0000-0000-000028010000}"/>
    <cellStyle name="Budget_2011-11" xfId="493" xr:uid="{00000000-0005-0000-0000-000029010000}"/>
    <cellStyle name="Calculation" xfId="259" builtinId="22" customBuiltin="1"/>
    <cellStyle name="Calculation 2" xfId="21" xr:uid="{00000000-0005-0000-0000-00002B010000}"/>
    <cellStyle name="Calculation 2 2" xfId="175" xr:uid="{00000000-0005-0000-0000-00002C010000}"/>
    <cellStyle name="Calculation 2 2 2" xfId="495" xr:uid="{00000000-0005-0000-0000-00002D010000}"/>
    <cellStyle name="Calculation 2 2 2 2" xfId="496" xr:uid="{00000000-0005-0000-0000-00002E010000}"/>
    <cellStyle name="Calculation 2 2 2 3" xfId="497" xr:uid="{00000000-0005-0000-0000-00002F010000}"/>
    <cellStyle name="Calculation 2 2 2 4" xfId="498" xr:uid="{00000000-0005-0000-0000-000030010000}"/>
    <cellStyle name="Calculation 2 2 2 5" xfId="499" xr:uid="{00000000-0005-0000-0000-000031010000}"/>
    <cellStyle name="Calculation 2 2 3" xfId="500" xr:uid="{00000000-0005-0000-0000-000032010000}"/>
    <cellStyle name="Calculation 2 2 3 2" xfId="501" xr:uid="{00000000-0005-0000-0000-000033010000}"/>
    <cellStyle name="Calculation 2 2 3 3" xfId="502" xr:uid="{00000000-0005-0000-0000-000034010000}"/>
    <cellStyle name="Calculation 2 2 3 4" xfId="503" xr:uid="{00000000-0005-0000-0000-000035010000}"/>
    <cellStyle name="Calculation 2 2 3 5" xfId="504" xr:uid="{00000000-0005-0000-0000-000036010000}"/>
    <cellStyle name="Calculation 2 2 4" xfId="494" xr:uid="{00000000-0005-0000-0000-000037010000}"/>
    <cellStyle name="Calculation 2 3" xfId="505" xr:uid="{00000000-0005-0000-0000-000038010000}"/>
    <cellStyle name="Calculation 2 3 2" xfId="506" xr:uid="{00000000-0005-0000-0000-000039010000}"/>
    <cellStyle name="Calculation 2 3 2 2" xfId="507" xr:uid="{00000000-0005-0000-0000-00003A010000}"/>
    <cellStyle name="Calculation 2 3 2 3" xfId="508" xr:uid="{00000000-0005-0000-0000-00003B010000}"/>
    <cellStyle name="Calculation 2 3 2 4" xfId="509" xr:uid="{00000000-0005-0000-0000-00003C010000}"/>
    <cellStyle name="Calculation 2 3 2 5" xfId="510" xr:uid="{00000000-0005-0000-0000-00003D010000}"/>
    <cellStyle name="Calculation 2 3 3" xfId="511" xr:uid="{00000000-0005-0000-0000-00003E010000}"/>
    <cellStyle name="Calculation 2 4" xfId="512" xr:uid="{00000000-0005-0000-0000-00003F010000}"/>
    <cellStyle name="Calculation 2 4 2" xfId="513" xr:uid="{00000000-0005-0000-0000-000040010000}"/>
    <cellStyle name="Calculation 2 4 2 2" xfId="514" xr:uid="{00000000-0005-0000-0000-000041010000}"/>
    <cellStyle name="Calculation 2 4 2 3" xfId="515" xr:uid="{00000000-0005-0000-0000-000042010000}"/>
    <cellStyle name="Calculation 2 4 2 4" xfId="516" xr:uid="{00000000-0005-0000-0000-000043010000}"/>
    <cellStyle name="Calculation 2 4 2 5" xfId="517" xr:uid="{00000000-0005-0000-0000-000044010000}"/>
    <cellStyle name="Calculation 2 4 3" xfId="518" xr:uid="{00000000-0005-0000-0000-000045010000}"/>
    <cellStyle name="Calculation 2 5" xfId="519" xr:uid="{00000000-0005-0000-0000-000046010000}"/>
    <cellStyle name="Calculation 2 5 2" xfId="520" xr:uid="{00000000-0005-0000-0000-000047010000}"/>
    <cellStyle name="Calculation 2 5 3" xfId="521" xr:uid="{00000000-0005-0000-0000-000048010000}"/>
    <cellStyle name="Calculation 2 5 4" xfId="522" xr:uid="{00000000-0005-0000-0000-000049010000}"/>
    <cellStyle name="Calculation 2 5 5" xfId="523" xr:uid="{00000000-0005-0000-0000-00004A010000}"/>
    <cellStyle name="Calculation 2 6" xfId="524" xr:uid="{00000000-0005-0000-0000-00004B010000}"/>
    <cellStyle name="Calculation 3" xfId="174" xr:uid="{00000000-0005-0000-0000-00004C010000}"/>
    <cellStyle name="Calculation 3 2" xfId="526" xr:uid="{00000000-0005-0000-0000-00004D010000}"/>
    <cellStyle name="Calculation 3 2 2" xfId="527" xr:uid="{00000000-0005-0000-0000-00004E010000}"/>
    <cellStyle name="Calculation 3 2 2 2" xfId="528" xr:uid="{00000000-0005-0000-0000-00004F010000}"/>
    <cellStyle name="Calculation 3 2 2 3" xfId="529" xr:uid="{00000000-0005-0000-0000-000050010000}"/>
    <cellStyle name="Calculation 3 2 2 4" xfId="530" xr:uid="{00000000-0005-0000-0000-000051010000}"/>
    <cellStyle name="Calculation 3 2 2 5" xfId="531" xr:uid="{00000000-0005-0000-0000-000052010000}"/>
    <cellStyle name="Calculation 3 2 3" xfId="532" xr:uid="{00000000-0005-0000-0000-000053010000}"/>
    <cellStyle name="Calculation 3 2 3 2" xfId="533" xr:uid="{00000000-0005-0000-0000-000054010000}"/>
    <cellStyle name="Calculation 3 2 3 3" xfId="534" xr:uid="{00000000-0005-0000-0000-000055010000}"/>
    <cellStyle name="Calculation 3 2 3 4" xfId="535" xr:uid="{00000000-0005-0000-0000-000056010000}"/>
    <cellStyle name="Calculation 3 2 3 5" xfId="536" xr:uid="{00000000-0005-0000-0000-000057010000}"/>
    <cellStyle name="Calculation 3 3" xfId="537" xr:uid="{00000000-0005-0000-0000-000058010000}"/>
    <cellStyle name="Calculation 3 3 2" xfId="538" xr:uid="{00000000-0005-0000-0000-000059010000}"/>
    <cellStyle name="Calculation 3 3 2 2" xfId="539" xr:uid="{00000000-0005-0000-0000-00005A010000}"/>
    <cellStyle name="Calculation 3 3 2 3" xfId="540" xr:uid="{00000000-0005-0000-0000-00005B010000}"/>
    <cellStyle name="Calculation 3 3 2 4" xfId="541" xr:uid="{00000000-0005-0000-0000-00005C010000}"/>
    <cellStyle name="Calculation 3 3 2 5" xfId="542" xr:uid="{00000000-0005-0000-0000-00005D010000}"/>
    <cellStyle name="Calculation 3 3 3" xfId="543" xr:uid="{00000000-0005-0000-0000-00005E010000}"/>
    <cellStyle name="Calculation 3 4" xfId="544" xr:uid="{00000000-0005-0000-0000-00005F010000}"/>
    <cellStyle name="Calculation 3 4 2" xfId="545" xr:uid="{00000000-0005-0000-0000-000060010000}"/>
    <cellStyle name="Calculation 3 4 3" xfId="546" xr:uid="{00000000-0005-0000-0000-000061010000}"/>
    <cellStyle name="Calculation 3 4 4" xfId="547" xr:uid="{00000000-0005-0000-0000-000062010000}"/>
    <cellStyle name="Calculation 3 4 5" xfId="548" xr:uid="{00000000-0005-0000-0000-000063010000}"/>
    <cellStyle name="Calculation 3 5" xfId="549" xr:uid="{00000000-0005-0000-0000-000064010000}"/>
    <cellStyle name="Calculation 3 5 2" xfId="550" xr:uid="{00000000-0005-0000-0000-000065010000}"/>
    <cellStyle name="Calculation 3 5 3" xfId="551" xr:uid="{00000000-0005-0000-0000-000066010000}"/>
    <cellStyle name="Calculation 3 5 4" xfId="552" xr:uid="{00000000-0005-0000-0000-000067010000}"/>
    <cellStyle name="Calculation 3 5 5" xfId="553" xr:uid="{00000000-0005-0000-0000-000068010000}"/>
    <cellStyle name="Calculation 3 6" xfId="525" xr:uid="{00000000-0005-0000-0000-000069010000}"/>
    <cellStyle name="Calculation 4" xfId="554" xr:uid="{00000000-0005-0000-0000-00006A010000}"/>
    <cellStyle name="Calculation 4 2" xfId="555" xr:uid="{00000000-0005-0000-0000-00006B010000}"/>
    <cellStyle name="Calculation 4 3" xfId="556" xr:uid="{00000000-0005-0000-0000-00006C010000}"/>
    <cellStyle name="Calculation 4 3 2" xfId="557" xr:uid="{00000000-0005-0000-0000-00006D010000}"/>
    <cellStyle name="Calculation 4 3 3" xfId="558" xr:uid="{00000000-0005-0000-0000-00006E010000}"/>
    <cellStyle name="Calculation 4 3 4" xfId="559" xr:uid="{00000000-0005-0000-0000-00006F010000}"/>
    <cellStyle name="Calculation 4 3 5" xfId="560" xr:uid="{00000000-0005-0000-0000-000070010000}"/>
    <cellStyle name="Calculation 4 4" xfId="561" xr:uid="{00000000-0005-0000-0000-000071010000}"/>
    <cellStyle name="Check Cell" xfId="261" builtinId="23" customBuiltin="1"/>
    <cellStyle name="Check Cell 2" xfId="177" xr:uid="{00000000-0005-0000-0000-000073010000}"/>
    <cellStyle name="Check Cell 2 2" xfId="563" xr:uid="{00000000-0005-0000-0000-000074010000}"/>
    <cellStyle name="Check Cell 2 2 2" xfId="564" xr:uid="{00000000-0005-0000-0000-000075010000}"/>
    <cellStyle name="Check Cell 2 3" xfId="565" xr:uid="{00000000-0005-0000-0000-000076010000}"/>
    <cellStyle name="Check Cell 2 4" xfId="566" xr:uid="{00000000-0005-0000-0000-000077010000}"/>
    <cellStyle name="Check Cell 2 5" xfId="562" xr:uid="{00000000-0005-0000-0000-000078010000}"/>
    <cellStyle name="Check Cell 3" xfId="176" xr:uid="{00000000-0005-0000-0000-000079010000}"/>
    <cellStyle name="Check Cell 4" xfId="567" xr:uid="{00000000-0005-0000-0000-00007A010000}"/>
    <cellStyle name="Color" xfId="568" xr:uid="{00000000-0005-0000-0000-00007B010000}"/>
    <cellStyle name="combo" xfId="569" xr:uid="{00000000-0005-0000-0000-00007C010000}"/>
    <cellStyle name="Comma" xfId="1" builtinId="3"/>
    <cellStyle name="Comma 10" xfId="22" xr:uid="{00000000-0005-0000-0000-00007E010000}"/>
    <cellStyle name="Comma 10 2" xfId="178" xr:uid="{00000000-0005-0000-0000-00007F010000}"/>
    <cellStyle name="Comma 11" xfId="23" xr:uid="{00000000-0005-0000-0000-000080010000}"/>
    <cellStyle name="Comma 11 2" xfId="179" xr:uid="{00000000-0005-0000-0000-000081010000}"/>
    <cellStyle name="Comma 11 2 2" xfId="570" xr:uid="{00000000-0005-0000-0000-000082010000}"/>
    <cellStyle name="Comma 11 2 2 2" xfId="571" xr:uid="{00000000-0005-0000-0000-000083010000}"/>
    <cellStyle name="Comma 11 2 2 2 2" xfId="572" xr:uid="{00000000-0005-0000-0000-000084010000}"/>
    <cellStyle name="Comma 11 2 2 2 2 2" xfId="573" xr:uid="{00000000-0005-0000-0000-000085010000}"/>
    <cellStyle name="Comma 11 2 2 2 2 2 2" xfId="574" xr:uid="{00000000-0005-0000-0000-000086010000}"/>
    <cellStyle name="Comma 11 2 2 2 2 3" xfId="575" xr:uid="{00000000-0005-0000-0000-000087010000}"/>
    <cellStyle name="Comma 11 2 2 2 2 3 2" xfId="576" xr:uid="{00000000-0005-0000-0000-000088010000}"/>
    <cellStyle name="Comma 11 2 2 2 2 4" xfId="577" xr:uid="{00000000-0005-0000-0000-000089010000}"/>
    <cellStyle name="Comma 11 2 2 2 3" xfId="578" xr:uid="{00000000-0005-0000-0000-00008A010000}"/>
    <cellStyle name="Comma 11 2 2 2 3 2" xfId="579" xr:uid="{00000000-0005-0000-0000-00008B010000}"/>
    <cellStyle name="Comma 11 2 2 2 4" xfId="580" xr:uid="{00000000-0005-0000-0000-00008C010000}"/>
    <cellStyle name="Comma 11 2 2 2 4 2" xfId="581" xr:uid="{00000000-0005-0000-0000-00008D010000}"/>
    <cellStyle name="Comma 11 2 2 2 5" xfId="582" xr:uid="{00000000-0005-0000-0000-00008E010000}"/>
    <cellStyle name="Comma 11 2 2 3" xfId="583" xr:uid="{00000000-0005-0000-0000-00008F010000}"/>
    <cellStyle name="Comma 11 2 2 3 2" xfId="584" xr:uid="{00000000-0005-0000-0000-000090010000}"/>
    <cellStyle name="Comma 11 2 2 3 2 2" xfId="585" xr:uid="{00000000-0005-0000-0000-000091010000}"/>
    <cellStyle name="Comma 11 2 2 3 3" xfId="586" xr:uid="{00000000-0005-0000-0000-000092010000}"/>
    <cellStyle name="Comma 11 2 2 3 3 2" xfId="587" xr:uid="{00000000-0005-0000-0000-000093010000}"/>
    <cellStyle name="Comma 11 2 2 3 4" xfId="588" xr:uid="{00000000-0005-0000-0000-000094010000}"/>
    <cellStyle name="Comma 11 2 2 4" xfId="589" xr:uid="{00000000-0005-0000-0000-000095010000}"/>
    <cellStyle name="Comma 11 2 2 4 2" xfId="590" xr:uid="{00000000-0005-0000-0000-000096010000}"/>
    <cellStyle name="Comma 11 2 2 5" xfId="591" xr:uid="{00000000-0005-0000-0000-000097010000}"/>
    <cellStyle name="Comma 11 2 2 5 2" xfId="592" xr:uid="{00000000-0005-0000-0000-000098010000}"/>
    <cellStyle name="Comma 11 2 2 6" xfId="593" xr:uid="{00000000-0005-0000-0000-000099010000}"/>
    <cellStyle name="Comma 11 2 3" xfId="594" xr:uid="{00000000-0005-0000-0000-00009A010000}"/>
    <cellStyle name="Comma 11 2 3 2" xfId="595" xr:uid="{00000000-0005-0000-0000-00009B010000}"/>
    <cellStyle name="Comma 11 2 3 2 2" xfId="596" xr:uid="{00000000-0005-0000-0000-00009C010000}"/>
    <cellStyle name="Comma 11 2 3 2 2 2" xfId="597" xr:uid="{00000000-0005-0000-0000-00009D010000}"/>
    <cellStyle name="Comma 11 2 3 2 3" xfId="598" xr:uid="{00000000-0005-0000-0000-00009E010000}"/>
    <cellStyle name="Comma 11 2 3 2 3 2" xfId="599" xr:uid="{00000000-0005-0000-0000-00009F010000}"/>
    <cellStyle name="Comma 11 2 3 2 4" xfId="600" xr:uid="{00000000-0005-0000-0000-0000A0010000}"/>
    <cellStyle name="Comma 11 2 3 3" xfId="601" xr:uid="{00000000-0005-0000-0000-0000A1010000}"/>
    <cellStyle name="Comma 11 2 3 3 2" xfId="602" xr:uid="{00000000-0005-0000-0000-0000A2010000}"/>
    <cellStyle name="Comma 11 2 3 4" xfId="603" xr:uid="{00000000-0005-0000-0000-0000A3010000}"/>
    <cellStyle name="Comma 11 2 3 4 2" xfId="604" xr:uid="{00000000-0005-0000-0000-0000A4010000}"/>
    <cellStyle name="Comma 11 2 3 5" xfId="605" xr:uid="{00000000-0005-0000-0000-0000A5010000}"/>
    <cellStyle name="Comma 11 2 4" xfId="606" xr:uid="{00000000-0005-0000-0000-0000A6010000}"/>
    <cellStyle name="Comma 11 2 4 2" xfId="607" xr:uid="{00000000-0005-0000-0000-0000A7010000}"/>
    <cellStyle name="Comma 11 2 4 2 2" xfId="608" xr:uid="{00000000-0005-0000-0000-0000A8010000}"/>
    <cellStyle name="Comma 11 2 4 3" xfId="609" xr:uid="{00000000-0005-0000-0000-0000A9010000}"/>
    <cellStyle name="Comma 11 2 4 3 2" xfId="610" xr:uid="{00000000-0005-0000-0000-0000AA010000}"/>
    <cellStyle name="Comma 11 2 4 4" xfId="611" xr:uid="{00000000-0005-0000-0000-0000AB010000}"/>
    <cellStyle name="Comma 11 2 5" xfId="612" xr:uid="{00000000-0005-0000-0000-0000AC010000}"/>
    <cellStyle name="Comma 11 2 5 2" xfId="613" xr:uid="{00000000-0005-0000-0000-0000AD010000}"/>
    <cellStyle name="Comma 11 2 6" xfId="614" xr:uid="{00000000-0005-0000-0000-0000AE010000}"/>
    <cellStyle name="Comma 11 2 6 2" xfId="615" xr:uid="{00000000-0005-0000-0000-0000AF010000}"/>
    <cellStyle name="Comma 11 2 7" xfId="616" xr:uid="{00000000-0005-0000-0000-0000B0010000}"/>
    <cellStyle name="Comma 11 3" xfId="617" xr:uid="{00000000-0005-0000-0000-0000B1010000}"/>
    <cellStyle name="Comma 11 3 2" xfId="618" xr:uid="{00000000-0005-0000-0000-0000B2010000}"/>
    <cellStyle name="Comma 11 3 2 2" xfId="619" xr:uid="{00000000-0005-0000-0000-0000B3010000}"/>
    <cellStyle name="Comma 11 3 2 2 2" xfId="620" xr:uid="{00000000-0005-0000-0000-0000B4010000}"/>
    <cellStyle name="Comma 11 3 2 2 2 2" xfId="621" xr:uid="{00000000-0005-0000-0000-0000B5010000}"/>
    <cellStyle name="Comma 11 3 2 2 3" xfId="622" xr:uid="{00000000-0005-0000-0000-0000B6010000}"/>
    <cellStyle name="Comma 11 3 2 2 3 2" xfId="623" xr:uid="{00000000-0005-0000-0000-0000B7010000}"/>
    <cellStyle name="Comma 11 3 2 2 4" xfId="624" xr:uid="{00000000-0005-0000-0000-0000B8010000}"/>
    <cellStyle name="Comma 11 3 2 3" xfId="625" xr:uid="{00000000-0005-0000-0000-0000B9010000}"/>
    <cellStyle name="Comma 11 3 2 3 2" xfId="626" xr:uid="{00000000-0005-0000-0000-0000BA010000}"/>
    <cellStyle name="Comma 11 3 2 4" xfId="627" xr:uid="{00000000-0005-0000-0000-0000BB010000}"/>
    <cellStyle name="Comma 11 3 2 4 2" xfId="628" xr:uid="{00000000-0005-0000-0000-0000BC010000}"/>
    <cellStyle name="Comma 11 3 2 5" xfId="629" xr:uid="{00000000-0005-0000-0000-0000BD010000}"/>
    <cellStyle name="Comma 11 3 3" xfId="630" xr:uid="{00000000-0005-0000-0000-0000BE010000}"/>
    <cellStyle name="Comma 11 3 3 2" xfId="631" xr:uid="{00000000-0005-0000-0000-0000BF010000}"/>
    <cellStyle name="Comma 11 3 3 2 2" xfId="632" xr:uid="{00000000-0005-0000-0000-0000C0010000}"/>
    <cellStyle name="Comma 11 3 3 3" xfId="633" xr:uid="{00000000-0005-0000-0000-0000C1010000}"/>
    <cellStyle name="Comma 11 3 3 3 2" xfId="634" xr:uid="{00000000-0005-0000-0000-0000C2010000}"/>
    <cellStyle name="Comma 11 3 3 4" xfId="635" xr:uid="{00000000-0005-0000-0000-0000C3010000}"/>
    <cellStyle name="Comma 11 3 4" xfId="636" xr:uid="{00000000-0005-0000-0000-0000C4010000}"/>
    <cellStyle name="Comma 11 3 4 2" xfId="637" xr:uid="{00000000-0005-0000-0000-0000C5010000}"/>
    <cellStyle name="Comma 11 3 5" xfId="638" xr:uid="{00000000-0005-0000-0000-0000C6010000}"/>
    <cellStyle name="Comma 11 3 5 2" xfId="639" xr:uid="{00000000-0005-0000-0000-0000C7010000}"/>
    <cellStyle name="Comma 11 3 6" xfId="640" xr:uid="{00000000-0005-0000-0000-0000C8010000}"/>
    <cellStyle name="Comma 11 4" xfId="641" xr:uid="{00000000-0005-0000-0000-0000C9010000}"/>
    <cellStyle name="Comma 11 4 2" xfId="642" xr:uid="{00000000-0005-0000-0000-0000CA010000}"/>
    <cellStyle name="Comma 11 4 2 2" xfId="643" xr:uid="{00000000-0005-0000-0000-0000CB010000}"/>
    <cellStyle name="Comma 11 4 2 2 2" xfId="644" xr:uid="{00000000-0005-0000-0000-0000CC010000}"/>
    <cellStyle name="Comma 11 4 2 3" xfId="645" xr:uid="{00000000-0005-0000-0000-0000CD010000}"/>
    <cellStyle name="Comma 11 4 2 3 2" xfId="646" xr:uid="{00000000-0005-0000-0000-0000CE010000}"/>
    <cellStyle name="Comma 11 4 2 4" xfId="647" xr:uid="{00000000-0005-0000-0000-0000CF010000}"/>
    <cellStyle name="Comma 11 4 3" xfId="648" xr:uid="{00000000-0005-0000-0000-0000D0010000}"/>
    <cellStyle name="Comma 11 4 3 2" xfId="649" xr:uid="{00000000-0005-0000-0000-0000D1010000}"/>
    <cellStyle name="Comma 11 4 4" xfId="650" xr:uid="{00000000-0005-0000-0000-0000D2010000}"/>
    <cellStyle name="Comma 11 4 4 2" xfId="651" xr:uid="{00000000-0005-0000-0000-0000D3010000}"/>
    <cellStyle name="Comma 11 4 5" xfId="652" xr:uid="{00000000-0005-0000-0000-0000D4010000}"/>
    <cellStyle name="Comma 11 5" xfId="653" xr:uid="{00000000-0005-0000-0000-0000D5010000}"/>
    <cellStyle name="Comma 11 5 2" xfId="654" xr:uid="{00000000-0005-0000-0000-0000D6010000}"/>
    <cellStyle name="Comma 11 5 2 2" xfId="655" xr:uid="{00000000-0005-0000-0000-0000D7010000}"/>
    <cellStyle name="Comma 11 5 3" xfId="656" xr:uid="{00000000-0005-0000-0000-0000D8010000}"/>
    <cellStyle name="Comma 11 5 3 2" xfId="657" xr:uid="{00000000-0005-0000-0000-0000D9010000}"/>
    <cellStyle name="Comma 11 5 4" xfId="658" xr:uid="{00000000-0005-0000-0000-0000DA010000}"/>
    <cellStyle name="Comma 11 6" xfId="659" xr:uid="{00000000-0005-0000-0000-0000DB010000}"/>
    <cellStyle name="Comma 11 6 2" xfId="660" xr:uid="{00000000-0005-0000-0000-0000DC010000}"/>
    <cellStyle name="Comma 11 7" xfId="661" xr:uid="{00000000-0005-0000-0000-0000DD010000}"/>
    <cellStyle name="Comma 11 7 2" xfId="662" xr:uid="{00000000-0005-0000-0000-0000DE010000}"/>
    <cellStyle name="Comma 11 8" xfId="663" xr:uid="{00000000-0005-0000-0000-0000DF010000}"/>
    <cellStyle name="Comma 12" xfId="24" xr:uid="{00000000-0005-0000-0000-0000E0010000}"/>
    <cellStyle name="Comma 12 2" xfId="180" xr:uid="{00000000-0005-0000-0000-0000E1010000}"/>
    <cellStyle name="Comma 12 2 2" xfId="665" xr:uid="{00000000-0005-0000-0000-0000E2010000}"/>
    <cellStyle name="Comma 12 2 2 2" xfId="666" xr:uid="{00000000-0005-0000-0000-0000E3010000}"/>
    <cellStyle name="Comma 12 2 2 2 2" xfId="667" xr:uid="{00000000-0005-0000-0000-0000E4010000}"/>
    <cellStyle name="Comma 12 2 2 2 2 2" xfId="668" xr:uid="{00000000-0005-0000-0000-0000E5010000}"/>
    <cellStyle name="Comma 12 2 2 2 3" xfId="669" xr:uid="{00000000-0005-0000-0000-0000E6010000}"/>
    <cellStyle name="Comma 12 2 2 2 3 2" xfId="670" xr:uid="{00000000-0005-0000-0000-0000E7010000}"/>
    <cellStyle name="Comma 12 2 2 2 4" xfId="671" xr:uid="{00000000-0005-0000-0000-0000E8010000}"/>
    <cellStyle name="Comma 12 2 2 3" xfId="672" xr:uid="{00000000-0005-0000-0000-0000E9010000}"/>
    <cellStyle name="Comma 12 2 2 3 2" xfId="673" xr:uid="{00000000-0005-0000-0000-0000EA010000}"/>
    <cellStyle name="Comma 12 2 2 4" xfId="674" xr:uid="{00000000-0005-0000-0000-0000EB010000}"/>
    <cellStyle name="Comma 12 2 2 4 2" xfId="675" xr:uid="{00000000-0005-0000-0000-0000EC010000}"/>
    <cellStyle name="Comma 12 2 2 5" xfId="676" xr:uid="{00000000-0005-0000-0000-0000ED010000}"/>
    <cellStyle name="Comma 12 2 3" xfId="677" xr:uid="{00000000-0005-0000-0000-0000EE010000}"/>
    <cellStyle name="Comma 12 2 3 2" xfId="678" xr:uid="{00000000-0005-0000-0000-0000EF010000}"/>
    <cellStyle name="Comma 12 2 3 2 2" xfId="679" xr:uid="{00000000-0005-0000-0000-0000F0010000}"/>
    <cellStyle name="Comma 12 2 3 3" xfId="680" xr:uid="{00000000-0005-0000-0000-0000F1010000}"/>
    <cellStyle name="Comma 12 2 3 3 2" xfId="681" xr:uid="{00000000-0005-0000-0000-0000F2010000}"/>
    <cellStyle name="Comma 12 2 3 4" xfId="682" xr:uid="{00000000-0005-0000-0000-0000F3010000}"/>
    <cellStyle name="Comma 12 2 4" xfId="683" xr:uid="{00000000-0005-0000-0000-0000F4010000}"/>
    <cellStyle name="Comma 12 2 4 2" xfId="684" xr:uid="{00000000-0005-0000-0000-0000F5010000}"/>
    <cellStyle name="Comma 12 2 5" xfId="685" xr:uid="{00000000-0005-0000-0000-0000F6010000}"/>
    <cellStyle name="Comma 12 2 5 2" xfId="686" xr:uid="{00000000-0005-0000-0000-0000F7010000}"/>
    <cellStyle name="Comma 12 2 6" xfId="687" xr:uid="{00000000-0005-0000-0000-0000F8010000}"/>
    <cellStyle name="Comma 12 2 7" xfId="664" xr:uid="{00000000-0005-0000-0000-0000F9010000}"/>
    <cellStyle name="Comma 12 3" xfId="688" xr:uid="{00000000-0005-0000-0000-0000FA010000}"/>
    <cellStyle name="Comma 12 4" xfId="689" xr:uid="{00000000-0005-0000-0000-0000FB010000}"/>
    <cellStyle name="Comma 12 5" xfId="690" xr:uid="{00000000-0005-0000-0000-0000FC010000}"/>
    <cellStyle name="Comma 12 6" xfId="691" xr:uid="{00000000-0005-0000-0000-0000FD010000}"/>
    <cellStyle name="Comma 13" xfId="25" xr:uid="{00000000-0005-0000-0000-0000FE010000}"/>
    <cellStyle name="Comma 13 2" xfId="692" xr:uid="{00000000-0005-0000-0000-0000FF010000}"/>
    <cellStyle name="Comma 13 2 2" xfId="693" xr:uid="{00000000-0005-0000-0000-000000020000}"/>
    <cellStyle name="Comma 13 2 2 2" xfId="694" xr:uid="{00000000-0005-0000-0000-000001020000}"/>
    <cellStyle name="Comma 13 2 2 2 2" xfId="695" xr:uid="{00000000-0005-0000-0000-000002020000}"/>
    <cellStyle name="Comma 13 2 2 2 2 2" xfId="696" xr:uid="{00000000-0005-0000-0000-000003020000}"/>
    <cellStyle name="Comma 13 2 2 2 3" xfId="697" xr:uid="{00000000-0005-0000-0000-000004020000}"/>
    <cellStyle name="Comma 13 2 2 2 3 2" xfId="698" xr:uid="{00000000-0005-0000-0000-000005020000}"/>
    <cellStyle name="Comma 13 2 2 2 4" xfId="699" xr:uid="{00000000-0005-0000-0000-000006020000}"/>
    <cellStyle name="Comma 13 2 2 3" xfId="700" xr:uid="{00000000-0005-0000-0000-000007020000}"/>
    <cellStyle name="Comma 13 2 2 3 2" xfId="701" xr:uid="{00000000-0005-0000-0000-000008020000}"/>
    <cellStyle name="Comma 13 2 2 4" xfId="702" xr:uid="{00000000-0005-0000-0000-000009020000}"/>
    <cellStyle name="Comma 13 2 2 4 2" xfId="703" xr:uid="{00000000-0005-0000-0000-00000A020000}"/>
    <cellStyle name="Comma 13 2 2 5" xfId="704" xr:uid="{00000000-0005-0000-0000-00000B020000}"/>
    <cellStyle name="Comma 13 2 3" xfId="705" xr:uid="{00000000-0005-0000-0000-00000C020000}"/>
    <cellStyle name="Comma 13 2 3 2" xfId="706" xr:uid="{00000000-0005-0000-0000-00000D020000}"/>
    <cellStyle name="Comma 13 2 3 2 2" xfId="707" xr:uid="{00000000-0005-0000-0000-00000E020000}"/>
    <cellStyle name="Comma 13 2 3 3" xfId="708" xr:uid="{00000000-0005-0000-0000-00000F020000}"/>
    <cellStyle name="Comma 13 2 3 3 2" xfId="709" xr:uid="{00000000-0005-0000-0000-000010020000}"/>
    <cellStyle name="Comma 13 2 3 4" xfId="710" xr:uid="{00000000-0005-0000-0000-000011020000}"/>
    <cellStyle name="Comma 13 2 4" xfId="711" xr:uid="{00000000-0005-0000-0000-000012020000}"/>
    <cellStyle name="Comma 13 2 4 2" xfId="712" xr:uid="{00000000-0005-0000-0000-000013020000}"/>
    <cellStyle name="Comma 13 2 5" xfId="713" xr:uid="{00000000-0005-0000-0000-000014020000}"/>
    <cellStyle name="Comma 13 2 5 2" xfId="714" xr:uid="{00000000-0005-0000-0000-000015020000}"/>
    <cellStyle name="Comma 13 2 6" xfId="715" xr:uid="{00000000-0005-0000-0000-000016020000}"/>
    <cellStyle name="Comma 13 3" xfId="716" xr:uid="{00000000-0005-0000-0000-000017020000}"/>
    <cellStyle name="Comma 13 3 2" xfId="717" xr:uid="{00000000-0005-0000-0000-000018020000}"/>
    <cellStyle name="Comma 13 3 2 2" xfId="718" xr:uid="{00000000-0005-0000-0000-000019020000}"/>
    <cellStyle name="Comma 13 3 2 2 2" xfId="719" xr:uid="{00000000-0005-0000-0000-00001A020000}"/>
    <cellStyle name="Comma 13 3 2 3" xfId="720" xr:uid="{00000000-0005-0000-0000-00001B020000}"/>
    <cellStyle name="Comma 13 3 2 3 2" xfId="721" xr:uid="{00000000-0005-0000-0000-00001C020000}"/>
    <cellStyle name="Comma 13 3 2 4" xfId="722" xr:uid="{00000000-0005-0000-0000-00001D020000}"/>
    <cellStyle name="Comma 13 3 3" xfId="723" xr:uid="{00000000-0005-0000-0000-00001E020000}"/>
    <cellStyle name="Comma 13 3 3 2" xfId="724" xr:uid="{00000000-0005-0000-0000-00001F020000}"/>
    <cellStyle name="Comma 13 3 4" xfId="725" xr:uid="{00000000-0005-0000-0000-000020020000}"/>
    <cellStyle name="Comma 13 3 4 2" xfId="726" xr:uid="{00000000-0005-0000-0000-000021020000}"/>
    <cellStyle name="Comma 13 3 5" xfId="727" xr:uid="{00000000-0005-0000-0000-000022020000}"/>
    <cellStyle name="Comma 13 4" xfId="728" xr:uid="{00000000-0005-0000-0000-000023020000}"/>
    <cellStyle name="Comma 13 4 2" xfId="729" xr:uid="{00000000-0005-0000-0000-000024020000}"/>
    <cellStyle name="Comma 13 4 2 2" xfId="730" xr:uid="{00000000-0005-0000-0000-000025020000}"/>
    <cellStyle name="Comma 13 4 3" xfId="731" xr:uid="{00000000-0005-0000-0000-000026020000}"/>
    <cellStyle name="Comma 13 4 3 2" xfId="732" xr:uid="{00000000-0005-0000-0000-000027020000}"/>
    <cellStyle name="Comma 13 4 4" xfId="733" xr:uid="{00000000-0005-0000-0000-000028020000}"/>
    <cellStyle name="Comma 13 5" xfId="734" xr:uid="{00000000-0005-0000-0000-000029020000}"/>
    <cellStyle name="Comma 13 5 2" xfId="735" xr:uid="{00000000-0005-0000-0000-00002A020000}"/>
    <cellStyle name="Comma 13 6" xfId="736" xr:uid="{00000000-0005-0000-0000-00002B020000}"/>
    <cellStyle name="Comma 13 6 2" xfId="737" xr:uid="{00000000-0005-0000-0000-00002C020000}"/>
    <cellStyle name="Comma 13 7" xfId="738" xr:uid="{00000000-0005-0000-0000-00002D020000}"/>
    <cellStyle name="Comma 13 8" xfId="9022" xr:uid="{CBA07A17-EC02-4F42-A288-FAF732770F35}"/>
    <cellStyle name="Comma 14" xfId="26" xr:uid="{00000000-0005-0000-0000-00002E020000}"/>
    <cellStyle name="Comma 14 2" xfId="739" xr:uid="{00000000-0005-0000-0000-00002F020000}"/>
    <cellStyle name="Comma 15" xfId="27" xr:uid="{00000000-0005-0000-0000-000030020000}"/>
    <cellStyle name="Comma 15 2" xfId="740" xr:uid="{00000000-0005-0000-0000-000031020000}"/>
    <cellStyle name="Comma 15 2 2" xfId="741" xr:uid="{00000000-0005-0000-0000-000032020000}"/>
    <cellStyle name="Comma 15 3" xfId="742" xr:uid="{00000000-0005-0000-0000-000033020000}"/>
    <cellStyle name="Comma 15 4" xfId="743" xr:uid="{00000000-0005-0000-0000-000034020000}"/>
    <cellStyle name="Comma 16" xfId="28" xr:uid="{00000000-0005-0000-0000-000035020000}"/>
    <cellStyle name="Comma 16 2" xfId="744" xr:uid="{00000000-0005-0000-0000-000036020000}"/>
    <cellStyle name="Comma 16 2 2" xfId="745" xr:uid="{00000000-0005-0000-0000-000037020000}"/>
    <cellStyle name="Comma 16 2 2 2" xfId="746" xr:uid="{00000000-0005-0000-0000-000038020000}"/>
    <cellStyle name="Comma 16 2 3" xfId="747" xr:uid="{00000000-0005-0000-0000-000039020000}"/>
    <cellStyle name="Comma 16 2 3 2" xfId="748" xr:uid="{00000000-0005-0000-0000-00003A020000}"/>
    <cellStyle name="Comma 16 2 4" xfId="749" xr:uid="{00000000-0005-0000-0000-00003B020000}"/>
    <cellStyle name="Comma 16 3" xfId="750" xr:uid="{00000000-0005-0000-0000-00003C020000}"/>
    <cellStyle name="Comma 16 3 2" xfId="751" xr:uid="{00000000-0005-0000-0000-00003D020000}"/>
    <cellStyle name="Comma 16 4" xfId="752" xr:uid="{00000000-0005-0000-0000-00003E020000}"/>
    <cellStyle name="Comma 16 4 2" xfId="753" xr:uid="{00000000-0005-0000-0000-00003F020000}"/>
    <cellStyle name="Comma 16 5" xfId="754" xr:uid="{00000000-0005-0000-0000-000040020000}"/>
    <cellStyle name="Comma 17" xfId="29" xr:uid="{00000000-0005-0000-0000-000041020000}"/>
    <cellStyle name="Comma 17 2" xfId="755" xr:uid="{00000000-0005-0000-0000-000042020000}"/>
    <cellStyle name="Comma 17 2 2" xfId="756" xr:uid="{00000000-0005-0000-0000-000043020000}"/>
    <cellStyle name="Comma 17 3" xfId="757" xr:uid="{00000000-0005-0000-0000-000044020000}"/>
    <cellStyle name="Comma 17 4" xfId="758" xr:uid="{00000000-0005-0000-0000-000045020000}"/>
    <cellStyle name="Comma 17 5" xfId="759" xr:uid="{00000000-0005-0000-0000-000046020000}"/>
    <cellStyle name="Comma 18" xfId="122" xr:uid="{00000000-0005-0000-0000-000047020000}"/>
    <cellStyle name="Comma 18 2" xfId="761" xr:uid="{00000000-0005-0000-0000-000048020000}"/>
    <cellStyle name="Comma 18 2 2" xfId="762" xr:uid="{00000000-0005-0000-0000-000049020000}"/>
    <cellStyle name="Comma 18 3" xfId="763" xr:uid="{00000000-0005-0000-0000-00004A020000}"/>
    <cellStyle name="Comma 18 4" xfId="764" xr:uid="{00000000-0005-0000-0000-00004B020000}"/>
    <cellStyle name="Comma 18 5" xfId="765" xr:uid="{00000000-0005-0000-0000-00004C020000}"/>
    <cellStyle name="Comma 18 6" xfId="760" xr:uid="{00000000-0005-0000-0000-00004D020000}"/>
    <cellStyle name="Comma 19" xfId="766" xr:uid="{00000000-0005-0000-0000-00004E020000}"/>
    <cellStyle name="Comma 19 2" xfId="767" xr:uid="{00000000-0005-0000-0000-00004F020000}"/>
    <cellStyle name="Comma 19 3" xfId="768" xr:uid="{00000000-0005-0000-0000-000050020000}"/>
    <cellStyle name="Comma 19 4" xfId="769" xr:uid="{00000000-0005-0000-0000-000051020000}"/>
    <cellStyle name="Comma 19 5" xfId="770" xr:uid="{00000000-0005-0000-0000-000052020000}"/>
    <cellStyle name="Comma 2" xfId="30" xr:uid="{00000000-0005-0000-0000-000053020000}"/>
    <cellStyle name="Comma 2 2" xfId="31" xr:uid="{00000000-0005-0000-0000-000054020000}"/>
    <cellStyle name="Comma 2 2 2" xfId="772" xr:uid="{00000000-0005-0000-0000-000055020000}"/>
    <cellStyle name="Comma 2 2 2 2" xfId="773" xr:uid="{00000000-0005-0000-0000-000056020000}"/>
    <cellStyle name="Comma 2 2 2 2 2" xfId="774" xr:uid="{00000000-0005-0000-0000-000057020000}"/>
    <cellStyle name="Comma 2 2 2 2 3" xfId="775" xr:uid="{00000000-0005-0000-0000-000058020000}"/>
    <cellStyle name="Comma 2 2 3" xfId="776" xr:uid="{00000000-0005-0000-0000-000059020000}"/>
    <cellStyle name="Comma 2 2 3 2" xfId="777" xr:uid="{00000000-0005-0000-0000-00005A020000}"/>
    <cellStyle name="Comma 2 2 3 3" xfId="778" xr:uid="{00000000-0005-0000-0000-00005B020000}"/>
    <cellStyle name="Comma 2 2 4" xfId="771" xr:uid="{00000000-0005-0000-0000-00005C020000}"/>
    <cellStyle name="Comma 2 3" xfId="32" xr:uid="{00000000-0005-0000-0000-00005D020000}"/>
    <cellStyle name="Comma 2 3 2" xfId="779" xr:uid="{00000000-0005-0000-0000-00005E020000}"/>
    <cellStyle name="Comma 2 4" xfId="181" xr:uid="{00000000-0005-0000-0000-00005F020000}"/>
    <cellStyle name="Comma 2 4 2" xfId="182" xr:uid="{00000000-0005-0000-0000-000060020000}"/>
    <cellStyle name="Comma 2 4 2 2" xfId="782" xr:uid="{00000000-0005-0000-0000-000061020000}"/>
    <cellStyle name="Comma 2 4 2 3" xfId="781" xr:uid="{00000000-0005-0000-0000-000062020000}"/>
    <cellStyle name="Comma 2 4 3" xfId="783" xr:uid="{00000000-0005-0000-0000-000063020000}"/>
    <cellStyle name="Comma 2 4 4" xfId="784" xr:uid="{00000000-0005-0000-0000-000064020000}"/>
    <cellStyle name="Comma 2 4 5" xfId="785" xr:uid="{00000000-0005-0000-0000-000065020000}"/>
    <cellStyle name="Comma 2 4 6" xfId="780" xr:uid="{00000000-0005-0000-0000-000066020000}"/>
    <cellStyle name="Comma 2 5" xfId="183" xr:uid="{00000000-0005-0000-0000-000067020000}"/>
    <cellStyle name="Comma 2 5 2" xfId="786" xr:uid="{00000000-0005-0000-0000-000068020000}"/>
    <cellStyle name="Comma 2 5 3" xfId="787" xr:uid="{00000000-0005-0000-0000-000069020000}"/>
    <cellStyle name="Comma 2 6" xfId="184" xr:uid="{00000000-0005-0000-0000-00006A020000}"/>
    <cellStyle name="Comma 2 6 2" xfId="789" xr:uid="{00000000-0005-0000-0000-00006B020000}"/>
    <cellStyle name="Comma 2 6 2 2" xfId="790" xr:uid="{00000000-0005-0000-0000-00006C020000}"/>
    <cellStyle name="Comma 2 6 3" xfId="791" xr:uid="{00000000-0005-0000-0000-00006D020000}"/>
    <cellStyle name="Comma 2 6 3 2" xfId="792" xr:uid="{00000000-0005-0000-0000-00006E020000}"/>
    <cellStyle name="Comma 2 6 4" xfId="793" xr:uid="{00000000-0005-0000-0000-00006F020000}"/>
    <cellStyle name="Comma 2 6 5" xfId="788" xr:uid="{00000000-0005-0000-0000-000070020000}"/>
    <cellStyle name="Comma 2 7" xfId="794" xr:uid="{00000000-0005-0000-0000-000071020000}"/>
    <cellStyle name="Comma 2 7 2" xfId="795" xr:uid="{00000000-0005-0000-0000-000072020000}"/>
    <cellStyle name="Comma 2 7 3" xfId="796" xr:uid="{00000000-0005-0000-0000-000073020000}"/>
    <cellStyle name="Comma 2 7 4" xfId="797" xr:uid="{00000000-0005-0000-0000-000074020000}"/>
    <cellStyle name="Comma 2 8" xfId="798" xr:uid="{00000000-0005-0000-0000-000075020000}"/>
    <cellStyle name="Comma 2 9" xfId="799" xr:uid="{00000000-0005-0000-0000-000076020000}"/>
    <cellStyle name="Comma 20" xfId="800" xr:uid="{00000000-0005-0000-0000-000077020000}"/>
    <cellStyle name="Comma 20 2" xfId="801" xr:uid="{00000000-0005-0000-0000-000078020000}"/>
    <cellStyle name="Comma 20 3" xfId="802" xr:uid="{00000000-0005-0000-0000-000079020000}"/>
    <cellStyle name="Comma 21" xfId="803" xr:uid="{00000000-0005-0000-0000-00007A020000}"/>
    <cellStyle name="Comma 21 2" xfId="804" xr:uid="{00000000-0005-0000-0000-00007B020000}"/>
    <cellStyle name="Comma 21 3" xfId="805" xr:uid="{00000000-0005-0000-0000-00007C020000}"/>
    <cellStyle name="Comma 22" xfId="806" xr:uid="{00000000-0005-0000-0000-00007D020000}"/>
    <cellStyle name="Comma 22 2" xfId="807" xr:uid="{00000000-0005-0000-0000-00007E020000}"/>
    <cellStyle name="Comma 23" xfId="808" xr:uid="{00000000-0005-0000-0000-00007F020000}"/>
    <cellStyle name="Comma 24" xfId="809" xr:uid="{00000000-0005-0000-0000-000080020000}"/>
    <cellStyle name="Comma 25" xfId="810" xr:uid="{00000000-0005-0000-0000-000081020000}"/>
    <cellStyle name="Comma 25 2" xfId="811" xr:uid="{00000000-0005-0000-0000-000082020000}"/>
    <cellStyle name="Comma 25 2 2" xfId="812" xr:uid="{00000000-0005-0000-0000-000083020000}"/>
    <cellStyle name="Comma 26" xfId="813" xr:uid="{00000000-0005-0000-0000-000084020000}"/>
    <cellStyle name="Comma 27" xfId="814" xr:uid="{00000000-0005-0000-0000-000085020000}"/>
    <cellStyle name="Comma 28" xfId="815" xr:uid="{00000000-0005-0000-0000-000086020000}"/>
    <cellStyle name="Comma 29" xfId="816" xr:uid="{00000000-0005-0000-0000-000087020000}"/>
    <cellStyle name="Comma 29 2" xfId="817" xr:uid="{00000000-0005-0000-0000-000088020000}"/>
    <cellStyle name="Comma 3" xfId="33" xr:uid="{00000000-0005-0000-0000-000089020000}"/>
    <cellStyle name="Comma 3 2" xfId="34" xr:uid="{00000000-0005-0000-0000-00008A020000}"/>
    <cellStyle name="Comma 3 2 2" xfId="35" xr:uid="{00000000-0005-0000-0000-00008B020000}"/>
    <cellStyle name="Comma 3 3" xfId="36" xr:uid="{00000000-0005-0000-0000-00008C020000}"/>
    <cellStyle name="Comma 3 4" xfId="818" xr:uid="{00000000-0005-0000-0000-00008D020000}"/>
    <cellStyle name="Comma 30" xfId="819" xr:uid="{00000000-0005-0000-0000-00008E020000}"/>
    <cellStyle name="Comma 31" xfId="9015" xr:uid="{00000000-0005-0000-0000-00008F020000}"/>
    <cellStyle name="Comma 32 2" xfId="9025" xr:uid="{15BC898E-F4B3-49AF-AB82-37D921970772}"/>
    <cellStyle name="Comma 4" xfId="37" xr:uid="{00000000-0005-0000-0000-000090020000}"/>
    <cellStyle name="Comma 4 10" xfId="820" xr:uid="{00000000-0005-0000-0000-000091020000}"/>
    <cellStyle name="Comma 4 11" xfId="821" xr:uid="{00000000-0005-0000-0000-000092020000}"/>
    <cellStyle name="Comma 4 12" xfId="822" xr:uid="{00000000-0005-0000-0000-000093020000}"/>
    <cellStyle name="Comma 4 2" xfId="38" xr:uid="{00000000-0005-0000-0000-000094020000}"/>
    <cellStyle name="Comma 4 2 2" xfId="185" xr:uid="{00000000-0005-0000-0000-000095020000}"/>
    <cellStyle name="Comma 4 2 2 10" xfId="823" xr:uid="{00000000-0005-0000-0000-000096020000}"/>
    <cellStyle name="Comma 4 2 2 2" xfId="824" xr:uid="{00000000-0005-0000-0000-000097020000}"/>
    <cellStyle name="Comma 4 2 2 2 2" xfId="825" xr:uid="{00000000-0005-0000-0000-000098020000}"/>
    <cellStyle name="Comma 4 2 2 2 2 2" xfId="826" xr:uid="{00000000-0005-0000-0000-000099020000}"/>
    <cellStyle name="Comma 4 2 2 2 2 2 2" xfId="827" xr:uid="{00000000-0005-0000-0000-00009A020000}"/>
    <cellStyle name="Comma 4 2 2 2 2 2 2 2" xfId="828" xr:uid="{00000000-0005-0000-0000-00009B020000}"/>
    <cellStyle name="Comma 4 2 2 2 2 2 3" xfId="829" xr:uid="{00000000-0005-0000-0000-00009C020000}"/>
    <cellStyle name="Comma 4 2 2 2 2 2 3 2" xfId="830" xr:uid="{00000000-0005-0000-0000-00009D020000}"/>
    <cellStyle name="Comma 4 2 2 2 2 2 4" xfId="831" xr:uid="{00000000-0005-0000-0000-00009E020000}"/>
    <cellStyle name="Comma 4 2 2 2 2 3" xfId="832" xr:uid="{00000000-0005-0000-0000-00009F020000}"/>
    <cellStyle name="Comma 4 2 2 2 2 3 2" xfId="833" xr:uid="{00000000-0005-0000-0000-0000A0020000}"/>
    <cellStyle name="Comma 4 2 2 2 2 4" xfId="834" xr:uid="{00000000-0005-0000-0000-0000A1020000}"/>
    <cellStyle name="Comma 4 2 2 2 2 4 2" xfId="835" xr:uid="{00000000-0005-0000-0000-0000A2020000}"/>
    <cellStyle name="Comma 4 2 2 2 2 5" xfId="836" xr:uid="{00000000-0005-0000-0000-0000A3020000}"/>
    <cellStyle name="Comma 4 2 2 2 3" xfId="837" xr:uid="{00000000-0005-0000-0000-0000A4020000}"/>
    <cellStyle name="Comma 4 2 2 2 3 2" xfId="838" xr:uid="{00000000-0005-0000-0000-0000A5020000}"/>
    <cellStyle name="Comma 4 2 2 2 3 2 2" xfId="839" xr:uid="{00000000-0005-0000-0000-0000A6020000}"/>
    <cellStyle name="Comma 4 2 2 2 3 3" xfId="840" xr:uid="{00000000-0005-0000-0000-0000A7020000}"/>
    <cellStyle name="Comma 4 2 2 2 3 3 2" xfId="841" xr:uid="{00000000-0005-0000-0000-0000A8020000}"/>
    <cellStyle name="Comma 4 2 2 2 3 4" xfId="842" xr:uid="{00000000-0005-0000-0000-0000A9020000}"/>
    <cellStyle name="Comma 4 2 2 2 4" xfId="843" xr:uid="{00000000-0005-0000-0000-0000AA020000}"/>
    <cellStyle name="Comma 4 2 2 2 4 2" xfId="844" xr:uid="{00000000-0005-0000-0000-0000AB020000}"/>
    <cellStyle name="Comma 4 2 2 2 5" xfId="845" xr:uid="{00000000-0005-0000-0000-0000AC020000}"/>
    <cellStyle name="Comma 4 2 2 2 5 2" xfId="846" xr:uid="{00000000-0005-0000-0000-0000AD020000}"/>
    <cellStyle name="Comma 4 2 2 2 6" xfId="847" xr:uid="{00000000-0005-0000-0000-0000AE020000}"/>
    <cellStyle name="Comma 4 2 2 3" xfId="848" xr:uid="{00000000-0005-0000-0000-0000AF020000}"/>
    <cellStyle name="Comma 4 2 2 3 2" xfId="849" xr:uid="{00000000-0005-0000-0000-0000B0020000}"/>
    <cellStyle name="Comma 4 2 2 3 2 2" xfId="850" xr:uid="{00000000-0005-0000-0000-0000B1020000}"/>
    <cellStyle name="Comma 4 2 2 3 2 2 2" xfId="851" xr:uid="{00000000-0005-0000-0000-0000B2020000}"/>
    <cellStyle name="Comma 4 2 2 3 2 2 2 2" xfId="852" xr:uid="{00000000-0005-0000-0000-0000B3020000}"/>
    <cellStyle name="Comma 4 2 2 3 2 2 3" xfId="853" xr:uid="{00000000-0005-0000-0000-0000B4020000}"/>
    <cellStyle name="Comma 4 2 2 3 2 2 3 2" xfId="854" xr:uid="{00000000-0005-0000-0000-0000B5020000}"/>
    <cellStyle name="Comma 4 2 2 3 2 2 4" xfId="855" xr:uid="{00000000-0005-0000-0000-0000B6020000}"/>
    <cellStyle name="Comma 4 2 2 3 2 3" xfId="856" xr:uid="{00000000-0005-0000-0000-0000B7020000}"/>
    <cellStyle name="Comma 4 2 2 3 2 3 2" xfId="857" xr:uid="{00000000-0005-0000-0000-0000B8020000}"/>
    <cellStyle name="Comma 4 2 2 3 2 4" xfId="858" xr:uid="{00000000-0005-0000-0000-0000B9020000}"/>
    <cellStyle name="Comma 4 2 2 3 2 4 2" xfId="859" xr:uid="{00000000-0005-0000-0000-0000BA020000}"/>
    <cellStyle name="Comma 4 2 2 3 2 5" xfId="860" xr:uid="{00000000-0005-0000-0000-0000BB020000}"/>
    <cellStyle name="Comma 4 2 2 3 3" xfId="861" xr:uid="{00000000-0005-0000-0000-0000BC020000}"/>
    <cellStyle name="Comma 4 2 2 3 3 2" xfId="862" xr:uid="{00000000-0005-0000-0000-0000BD020000}"/>
    <cellStyle name="Comma 4 2 2 3 3 2 2" xfId="863" xr:uid="{00000000-0005-0000-0000-0000BE020000}"/>
    <cellStyle name="Comma 4 2 2 3 3 3" xfId="864" xr:uid="{00000000-0005-0000-0000-0000BF020000}"/>
    <cellStyle name="Comma 4 2 2 3 3 3 2" xfId="865" xr:uid="{00000000-0005-0000-0000-0000C0020000}"/>
    <cellStyle name="Comma 4 2 2 3 3 4" xfId="866" xr:uid="{00000000-0005-0000-0000-0000C1020000}"/>
    <cellStyle name="Comma 4 2 2 3 4" xfId="867" xr:uid="{00000000-0005-0000-0000-0000C2020000}"/>
    <cellStyle name="Comma 4 2 2 3 4 2" xfId="868" xr:uid="{00000000-0005-0000-0000-0000C3020000}"/>
    <cellStyle name="Comma 4 2 2 3 5" xfId="869" xr:uid="{00000000-0005-0000-0000-0000C4020000}"/>
    <cellStyle name="Comma 4 2 2 3 5 2" xfId="870" xr:uid="{00000000-0005-0000-0000-0000C5020000}"/>
    <cellStyle name="Comma 4 2 2 3 6" xfId="871" xr:uid="{00000000-0005-0000-0000-0000C6020000}"/>
    <cellStyle name="Comma 4 2 2 4" xfId="872" xr:uid="{00000000-0005-0000-0000-0000C7020000}"/>
    <cellStyle name="Comma 4 2 2 4 2" xfId="873" xr:uid="{00000000-0005-0000-0000-0000C8020000}"/>
    <cellStyle name="Comma 4 2 2 4 2 2" xfId="874" xr:uid="{00000000-0005-0000-0000-0000C9020000}"/>
    <cellStyle name="Comma 4 2 2 4 2 2 2" xfId="875" xr:uid="{00000000-0005-0000-0000-0000CA020000}"/>
    <cellStyle name="Comma 4 2 2 4 2 3" xfId="876" xr:uid="{00000000-0005-0000-0000-0000CB020000}"/>
    <cellStyle name="Comma 4 2 2 4 2 3 2" xfId="877" xr:uid="{00000000-0005-0000-0000-0000CC020000}"/>
    <cellStyle name="Comma 4 2 2 4 2 4" xfId="878" xr:uid="{00000000-0005-0000-0000-0000CD020000}"/>
    <cellStyle name="Comma 4 2 2 4 3" xfId="879" xr:uid="{00000000-0005-0000-0000-0000CE020000}"/>
    <cellStyle name="Comma 4 2 2 4 3 2" xfId="880" xr:uid="{00000000-0005-0000-0000-0000CF020000}"/>
    <cellStyle name="Comma 4 2 2 4 4" xfId="881" xr:uid="{00000000-0005-0000-0000-0000D0020000}"/>
    <cellStyle name="Comma 4 2 2 4 4 2" xfId="882" xr:uid="{00000000-0005-0000-0000-0000D1020000}"/>
    <cellStyle name="Comma 4 2 2 4 5" xfId="883" xr:uid="{00000000-0005-0000-0000-0000D2020000}"/>
    <cellStyle name="Comma 4 2 2 5" xfId="884" xr:uid="{00000000-0005-0000-0000-0000D3020000}"/>
    <cellStyle name="Comma 4 2 2 5 2" xfId="885" xr:uid="{00000000-0005-0000-0000-0000D4020000}"/>
    <cellStyle name="Comma 4 2 2 5 2 2" xfId="886" xr:uid="{00000000-0005-0000-0000-0000D5020000}"/>
    <cellStyle name="Comma 4 2 2 5 3" xfId="887" xr:uid="{00000000-0005-0000-0000-0000D6020000}"/>
    <cellStyle name="Comma 4 2 2 5 3 2" xfId="888" xr:uid="{00000000-0005-0000-0000-0000D7020000}"/>
    <cellStyle name="Comma 4 2 2 5 4" xfId="889" xr:uid="{00000000-0005-0000-0000-0000D8020000}"/>
    <cellStyle name="Comma 4 2 2 6" xfId="890" xr:uid="{00000000-0005-0000-0000-0000D9020000}"/>
    <cellStyle name="Comma 4 2 2 6 2" xfId="891" xr:uid="{00000000-0005-0000-0000-0000DA020000}"/>
    <cellStyle name="Comma 4 2 2 7" xfId="892" xr:uid="{00000000-0005-0000-0000-0000DB020000}"/>
    <cellStyle name="Comma 4 2 2 7 2" xfId="893" xr:uid="{00000000-0005-0000-0000-0000DC020000}"/>
    <cellStyle name="Comma 4 2 2 8" xfId="894" xr:uid="{00000000-0005-0000-0000-0000DD020000}"/>
    <cellStyle name="Comma 4 2 2 9" xfId="895" xr:uid="{00000000-0005-0000-0000-0000DE020000}"/>
    <cellStyle name="Comma 4 2 3" xfId="896" xr:uid="{00000000-0005-0000-0000-0000DF020000}"/>
    <cellStyle name="Comma 4 2 3 2" xfId="897" xr:uid="{00000000-0005-0000-0000-0000E0020000}"/>
    <cellStyle name="Comma 4 2 3 2 2" xfId="898" xr:uid="{00000000-0005-0000-0000-0000E1020000}"/>
    <cellStyle name="Comma 4 2 3 2 2 2" xfId="899" xr:uid="{00000000-0005-0000-0000-0000E2020000}"/>
    <cellStyle name="Comma 4 2 3 2 2 2 2" xfId="900" xr:uid="{00000000-0005-0000-0000-0000E3020000}"/>
    <cellStyle name="Comma 4 2 3 2 2 3" xfId="901" xr:uid="{00000000-0005-0000-0000-0000E4020000}"/>
    <cellStyle name="Comma 4 2 3 2 2 3 2" xfId="902" xr:uid="{00000000-0005-0000-0000-0000E5020000}"/>
    <cellStyle name="Comma 4 2 3 2 2 4" xfId="903" xr:uid="{00000000-0005-0000-0000-0000E6020000}"/>
    <cellStyle name="Comma 4 2 3 2 3" xfId="904" xr:uid="{00000000-0005-0000-0000-0000E7020000}"/>
    <cellStyle name="Comma 4 2 3 2 3 2" xfId="905" xr:uid="{00000000-0005-0000-0000-0000E8020000}"/>
    <cellStyle name="Comma 4 2 3 2 4" xfId="906" xr:uid="{00000000-0005-0000-0000-0000E9020000}"/>
    <cellStyle name="Comma 4 2 3 2 4 2" xfId="907" xr:uid="{00000000-0005-0000-0000-0000EA020000}"/>
    <cellStyle name="Comma 4 2 3 2 5" xfId="908" xr:uid="{00000000-0005-0000-0000-0000EB020000}"/>
    <cellStyle name="Comma 4 2 3 3" xfId="909" xr:uid="{00000000-0005-0000-0000-0000EC020000}"/>
    <cellStyle name="Comma 4 2 3 3 2" xfId="910" xr:uid="{00000000-0005-0000-0000-0000ED020000}"/>
    <cellStyle name="Comma 4 2 3 3 2 2" xfId="911" xr:uid="{00000000-0005-0000-0000-0000EE020000}"/>
    <cellStyle name="Comma 4 2 3 3 3" xfId="912" xr:uid="{00000000-0005-0000-0000-0000EF020000}"/>
    <cellStyle name="Comma 4 2 3 3 3 2" xfId="913" xr:uid="{00000000-0005-0000-0000-0000F0020000}"/>
    <cellStyle name="Comma 4 2 3 3 4" xfId="914" xr:uid="{00000000-0005-0000-0000-0000F1020000}"/>
    <cellStyle name="Comma 4 2 3 4" xfId="915" xr:uid="{00000000-0005-0000-0000-0000F2020000}"/>
    <cellStyle name="Comma 4 2 3 4 2" xfId="916" xr:uid="{00000000-0005-0000-0000-0000F3020000}"/>
    <cellStyle name="Comma 4 2 3 5" xfId="917" xr:uid="{00000000-0005-0000-0000-0000F4020000}"/>
    <cellStyle name="Comma 4 2 3 5 2" xfId="918" xr:uid="{00000000-0005-0000-0000-0000F5020000}"/>
    <cellStyle name="Comma 4 2 3 6" xfId="919" xr:uid="{00000000-0005-0000-0000-0000F6020000}"/>
    <cellStyle name="Comma 4 2 4" xfId="920" xr:uid="{00000000-0005-0000-0000-0000F7020000}"/>
    <cellStyle name="Comma 4 2 4 2" xfId="921" xr:uid="{00000000-0005-0000-0000-0000F8020000}"/>
    <cellStyle name="Comma 4 2 4 2 2" xfId="922" xr:uid="{00000000-0005-0000-0000-0000F9020000}"/>
    <cellStyle name="Comma 4 2 4 2 2 2" xfId="923" xr:uid="{00000000-0005-0000-0000-0000FA020000}"/>
    <cellStyle name="Comma 4 2 4 2 2 2 2" xfId="924" xr:uid="{00000000-0005-0000-0000-0000FB020000}"/>
    <cellStyle name="Comma 4 2 4 2 2 3" xfId="925" xr:uid="{00000000-0005-0000-0000-0000FC020000}"/>
    <cellStyle name="Comma 4 2 4 2 2 3 2" xfId="926" xr:uid="{00000000-0005-0000-0000-0000FD020000}"/>
    <cellStyle name="Comma 4 2 4 2 2 4" xfId="927" xr:uid="{00000000-0005-0000-0000-0000FE020000}"/>
    <cellStyle name="Comma 4 2 4 2 3" xfId="928" xr:uid="{00000000-0005-0000-0000-0000FF020000}"/>
    <cellStyle name="Comma 4 2 4 2 3 2" xfId="929" xr:uid="{00000000-0005-0000-0000-000000030000}"/>
    <cellStyle name="Comma 4 2 4 2 4" xfId="930" xr:uid="{00000000-0005-0000-0000-000001030000}"/>
    <cellStyle name="Comma 4 2 4 2 4 2" xfId="931" xr:uid="{00000000-0005-0000-0000-000002030000}"/>
    <cellStyle name="Comma 4 2 4 2 5" xfId="932" xr:uid="{00000000-0005-0000-0000-000003030000}"/>
    <cellStyle name="Comma 4 2 4 3" xfId="933" xr:uid="{00000000-0005-0000-0000-000004030000}"/>
    <cellStyle name="Comma 4 2 4 3 2" xfId="934" xr:uid="{00000000-0005-0000-0000-000005030000}"/>
    <cellStyle name="Comma 4 2 4 3 2 2" xfId="935" xr:uid="{00000000-0005-0000-0000-000006030000}"/>
    <cellStyle name="Comma 4 2 4 3 3" xfId="936" xr:uid="{00000000-0005-0000-0000-000007030000}"/>
    <cellStyle name="Comma 4 2 4 3 3 2" xfId="937" xr:uid="{00000000-0005-0000-0000-000008030000}"/>
    <cellStyle name="Comma 4 2 4 3 4" xfId="938" xr:uid="{00000000-0005-0000-0000-000009030000}"/>
    <cellStyle name="Comma 4 2 4 4" xfId="939" xr:uid="{00000000-0005-0000-0000-00000A030000}"/>
    <cellStyle name="Comma 4 2 4 4 2" xfId="940" xr:uid="{00000000-0005-0000-0000-00000B030000}"/>
    <cellStyle name="Comma 4 2 4 5" xfId="941" xr:uid="{00000000-0005-0000-0000-00000C030000}"/>
    <cellStyle name="Comma 4 2 4 5 2" xfId="942" xr:uid="{00000000-0005-0000-0000-00000D030000}"/>
    <cellStyle name="Comma 4 2 4 6" xfId="943" xr:uid="{00000000-0005-0000-0000-00000E030000}"/>
    <cellStyle name="Comma 4 2 5" xfId="944" xr:uid="{00000000-0005-0000-0000-00000F030000}"/>
    <cellStyle name="Comma 4 2 5 2" xfId="945" xr:uid="{00000000-0005-0000-0000-000010030000}"/>
    <cellStyle name="Comma 4 2 5 2 2" xfId="946" xr:uid="{00000000-0005-0000-0000-000011030000}"/>
    <cellStyle name="Comma 4 2 5 2 2 2" xfId="947" xr:uid="{00000000-0005-0000-0000-000012030000}"/>
    <cellStyle name="Comma 4 2 5 2 3" xfId="948" xr:uid="{00000000-0005-0000-0000-000013030000}"/>
    <cellStyle name="Comma 4 2 5 2 3 2" xfId="949" xr:uid="{00000000-0005-0000-0000-000014030000}"/>
    <cellStyle name="Comma 4 2 5 2 4" xfId="950" xr:uid="{00000000-0005-0000-0000-000015030000}"/>
    <cellStyle name="Comma 4 2 5 3" xfId="951" xr:uid="{00000000-0005-0000-0000-000016030000}"/>
    <cellStyle name="Comma 4 2 5 3 2" xfId="952" xr:uid="{00000000-0005-0000-0000-000017030000}"/>
    <cellStyle name="Comma 4 2 5 4" xfId="953" xr:uid="{00000000-0005-0000-0000-000018030000}"/>
    <cellStyle name="Comma 4 2 5 4 2" xfId="954" xr:uid="{00000000-0005-0000-0000-000019030000}"/>
    <cellStyle name="Comma 4 2 5 5" xfId="955" xr:uid="{00000000-0005-0000-0000-00001A030000}"/>
    <cellStyle name="Comma 4 2 6" xfId="956" xr:uid="{00000000-0005-0000-0000-00001B030000}"/>
    <cellStyle name="Comma 4 2 6 2" xfId="957" xr:uid="{00000000-0005-0000-0000-00001C030000}"/>
    <cellStyle name="Comma 4 2 6 2 2" xfId="958" xr:uid="{00000000-0005-0000-0000-00001D030000}"/>
    <cellStyle name="Comma 4 2 6 3" xfId="959" xr:uid="{00000000-0005-0000-0000-00001E030000}"/>
    <cellStyle name="Comma 4 2 6 3 2" xfId="960" xr:uid="{00000000-0005-0000-0000-00001F030000}"/>
    <cellStyle name="Comma 4 2 6 4" xfId="961" xr:uid="{00000000-0005-0000-0000-000020030000}"/>
    <cellStyle name="Comma 4 2 7" xfId="962" xr:uid="{00000000-0005-0000-0000-000021030000}"/>
    <cellStyle name="Comma 4 2 7 2" xfId="963" xr:uid="{00000000-0005-0000-0000-000022030000}"/>
    <cellStyle name="Comma 4 2 8" xfId="964" xr:uid="{00000000-0005-0000-0000-000023030000}"/>
    <cellStyle name="Comma 4 2 8 2" xfId="965" xr:uid="{00000000-0005-0000-0000-000024030000}"/>
    <cellStyle name="Comma 4 2 9" xfId="966" xr:uid="{00000000-0005-0000-0000-000025030000}"/>
    <cellStyle name="Comma 4 3" xfId="39" xr:uid="{00000000-0005-0000-0000-000026030000}"/>
    <cellStyle name="Comma 4 3 10" xfId="967" xr:uid="{00000000-0005-0000-0000-000027030000}"/>
    <cellStyle name="Comma 4 3 2" xfId="968" xr:uid="{00000000-0005-0000-0000-000028030000}"/>
    <cellStyle name="Comma 4 3 2 2" xfId="969" xr:uid="{00000000-0005-0000-0000-000029030000}"/>
    <cellStyle name="Comma 4 3 2 2 2" xfId="970" xr:uid="{00000000-0005-0000-0000-00002A030000}"/>
    <cellStyle name="Comma 4 3 2 2 2 2" xfId="971" xr:uid="{00000000-0005-0000-0000-00002B030000}"/>
    <cellStyle name="Comma 4 3 2 2 2 2 2" xfId="972" xr:uid="{00000000-0005-0000-0000-00002C030000}"/>
    <cellStyle name="Comma 4 3 2 2 2 3" xfId="973" xr:uid="{00000000-0005-0000-0000-00002D030000}"/>
    <cellStyle name="Comma 4 3 2 2 2 3 2" xfId="974" xr:uid="{00000000-0005-0000-0000-00002E030000}"/>
    <cellStyle name="Comma 4 3 2 2 2 4" xfId="975" xr:uid="{00000000-0005-0000-0000-00002F030000}"/>
    <cellStyle name="Comma 4 3 2 2 3" xfId="976" xr:uid="{00000000-0005-0000-0000-000030030000}"/>
    <cellStyle name="Comma 4 3 2 2 3 2" xfId="977" xr:uid="{00000000-0005-0000-0000-000031030000}"/>
    <cellStyle name="Comma 4 3 2 2 4" xfId="978" xr:uid="{00000000-0005-0000-0000-000032030000}"/>
    <cellStyle name="Comma 4 3 2 2 4 2" xfId="979" xr:uid="{00000000-0005-0000-0000-000033030000}"/>
    <cellStyle name="Comma 4 3 2 2 5" xfId="980" xr:uid="{00000000-0005-0000-0000-000034030000}"/>
    <cellStyle name="Comma 4 3 2 3" xfId="981" xr:uid="{00000000-0005-0000-0000-000035030000}"/>
    <cellStyle name="Comma 4 3 2 3 2" xfId="982" xr:uid="{00000000-0005-0000-0000-000036030000}"/>
    <cellStyle name="Comma 4 3 2 3 2 2" xfId="983" xr:uid="{00000000-0005-0000-0000-000037030000}"/>
    <cellStyle name="Comma 4 3 2 3 3" xfId="984" xr:uid="{00000000-0005-0000-0000-000038030000}"/>
    <cellStyle name="Comma 4 3 2 3 3 2" xfId="985" xr:uid="{00000000-0005-0000-0000-000039030000}"/>
    <cellStyle name="Comma 4 3 2 3 4" xfId="986" xr:uid="{00000000-0005-0000-0000-00003A030000}"/>
    <cellStyle name="Comma 4 3 2 4" xfId="987" xr:uid="{00000000-0005-0000-0000-00003B030000}"/>
    <cellStyle name="Comma 4 3 2 4 2" xfId="988" xr:uid="{00000000-0005-0000-0000-00003C030000}"/>
    <cellStyle name="Comma 4 3 2 5" xfId="989" xr:uid="{00000000-0005-0000-0000-00003D030000}"/>
    <cellStyle name="Comma 4 3 2 5 2" xfId="990" xr:uid="{00000000-0005-0000-0000-00003E030000}"/>
    <cellStyle name="Comma 4 3 2 6" xfId="991" xr:uid="{00000000-0005-0000-0000-00003F030000}"/>
    <cellStyle name="Comma 4 3 2 7" xfId="992" xr:uid="{00000000-0005-0000-0000-000040030000}"/>
    <cellStyle name="Comma 4 3 3" xfId="993" xr:uid="{00000000-0005-0000-0000-000041030000}"/>
    <cellStyle name="Comma 4 3 3 2" xfId="994" xr:uid="{00000000-0005-0000-0000-000042030000}"/>
    <cellStyle name="Comma 4 3 3 2 2" xfId="995" xr:uid="{00000000-0005-0000-0000-000043030000}"/>
    <cellStyle name="Comma 4 3 3 2 2 2" xfId="996" xr:uid="{00000000-0005-0000-0000-000044030000}"/>
    <cellStyle name="Comma 4 3 3 2 2 2 2" xfId="997" xr:uid="{00000000-0005-0000-0000-000045030000}"/>
    <cellStyle name="Comma 4 3 3 2 2 3" xfId="998" xr:uid="{00000000-0005-0000-0000-000046030000}"/>
    <cellStyle name="Comma 4 3 3 2 2 3 2" xfId="999" xr:uid="{00000000-0005-0000-0000-000047030000}"/>
    <cellStyle name="Comma 4 3 3 2 2 4" xfId="1000" xr:uid="{00000000-0005-0000-0000-000048030000}"/>
    <cellStyle name="Comma 4 3 3 2 3" xfId="1001" xr:uid="{00000000-0005-0000-0000-000049030000}"/>
    <cellStyle name="Comma 4 3 3 2 3 2" xfId="1002" xr:uid="{00000000-0005-0000-0000-00004A030000}"/>
    <cellStyle name="Comma 4 3 3 2 4" xfId="1003" xr:uid="{00000000-0005-0000-0000-00004B030000}"/>
    <cellStyle name="Comma 4 3 3 2 4 2" xfId="1004" xr:uid="{00000000-0005-0000-0000-00004C030000}"/>
    <cellStyle name="Comma 4 3 3 2 5" xfId="1005" xr:uid="{00000000-0005-0000-0000-00004D030000}"/>
    <cellStyle name="Comma 4 3 3 3" xfId="1006" xr:uid="{00000000-0005-0000-0000-00004E030000}"/>
    <cellStyle name="Comma 4 3 3 3 2" xfId="1007" xr:uid="{00000000-0005-0000-0000-00004F030000}"/>
    <cellStyle name="Comma 4 3 3 3 2 2" xfId="1008" xr:uid="{00000000-0005-0000-0000-000050030000}"/>
    <cellStyle name="Comma 4 3 3 3 3" xfId="1009" xr:uid="{00000000-0005-0000-0000-000051030000}"/>
    <cellStyle name="Comma 4 3 3 3 3 2" xfId="1010" xr:uid="{00000000-0005-0000-0000-000052030000}"/>
    <cellStyle name="Comma 4 3 3 3 4" xfId="1011" xr:uid="{00000000-0005-0000-0000-000053030000}"/>
    <cellStyle name="Comma 4 3 3 4" xfId="1012" xr:uid="{00000000-0005-0000-0000-000054030000}"/>
    <cellStyle name="Comma 4 3 3 4 2" xfId="1013" xr:uid="{00000000-0005-0000-0000-000055030000}"/>
    <cellStyle name="Comma 4 3 3 5" xfId="1014" xr:uid="{00000000-0005-0000-0000-000056030000}"/>
    <cellStyle name="Comma 4 3 3 5 2" xfId="1015" xr:uid="{00000000-0005-0000-0000-000057030000}"/>
    <cellStyle name="Comma 4 3 3 6" xfId="1016" xr:uid="{00000000-0005-0000-0000-000058030000}"/>
    <cellStyle name="Comma 4 3 4" xfId="1017" xr:uid="{00000000-0005-0000-0000-000059030000}"/>
    <cellStyle name="Comma 4 3 4 2" xfId="1018" xr:uid="{00000000-0005-0000-0000-00005A030000}"/>
    <cellStyle name="Comma 4 3 4 2 2" xfId="1019" xr:uid="{00000000-0005-0000-0000-00005B030000}"/>
    <cellStyle name="Comma 4 3 4 2 2 2" xfId="1020" xr:uid="{00000000-0005-0000-0000-00005C030000}"/>
    <cellStyle name="Comma 4 3 4 2 3" xfId="1021" xr:uid="{00000000-0005-0000-0000-00005D030000}"/>
    <cellStyle name="Comma 4 3 4 2 3 2" xfId="1022" xr:uid="{00000000-0005-0000-0000-00005E030000}"/>
    <cellStyle name="Comma 4 3 4 2 4" xfId="1023" xr:uid="{00000000-0005-0000-0000-00005F030000}"/>
    <cellStyle name="Comma 4 3 4 3" xfId="1024" xr:uid="{00000000-0005-0000-0000-000060030000}"/>
    <cellStyle name="Comma 4 3 4 3 2" xfId="1025" xr:uid="{00000000-0005-0000-0000-000061030000}"/>
    <cellStyle name="Comma 4 3 4 4" xfId="1026" xr:uid="{00000000-0005-0000-0000-000062030000}"/>
    <cellStyle name="Comma 4 3 4 4 2" xfId="1027" xr:uid="{00000000-0005-0000-0000-000063030000}"/>
    <cellStyle name="Comma 4 3 4 5" xfId="1028" xr:uid="{00000000-0005-0000-0000-000064030000}"/>
    <cellStyle name="Comma 4 3 5" xfId="1029" xr:uid="{00000000-0005-0000-0000-000065030000}"/>
    <cellStyle name="Comma 4 3 5 2" xfId="1030" xr:uid="{00000000-0005-0000-0000-000066030000}"/>
    <cellStyle name="Comma 4 3 5 2 2" xfId="1031" xr:uid="{00000000-0005-0000-0000-000067030000}"/>
    <cellStyle name="Comma 4 3 5 3" xfId="1032" xr:uid="{00000000-0005-0000-0000-000068030000}"/>
    <cellStyle name="Comma 4 3 5 3 2" xfId="1033" xr:uid="{00000000-0005-0000-0000-000069030000}"/>
    <cellStyle name="Comma 4 3 5 4" xfId="1034" xr:uid="{00000000-0005-0000-0000-00006A030000}"/>
    <cellStyle name="Comma 4 3 6" xfId="1035" xr:uid="{00000000-0005-0000-0000-00006B030000}"/>
    <cellStyle name="Comma 4 3 6 2" xfId="1036" xr:uid="{00000000-0005-0000-0000-00006C030000}"/>
    <cellStyle name="Comma 4 3 7" xfId="1037" xr:uid="{00000000-0005-0000-0000-00006D030000}"/>
    <cellStyle name="Comma 4 3 7 2" xfId="1038" xr:uid="{00000000-0005-0000-0000-00006E030000}"/>
    <cellStyle name="Comma 4 3 8" xfId="1039" xr:uid="{00000000-0005-0000-0000-00006F030000}"/>
    <cellStyle name="Comma 4 3 9" xfId="1040" xr:uid="{00000000-0005-0000-0000-000070030000}"/>
    <cellStyle name="Comma 4 4" xfId="40" xr:uid="{00000000-0005-0000-0000-000071030000}"/>
    <cellStyle name="Comma 4 4 10" xfId="1041" xr:uid="{00000000-0005-0000-0000-000072030000}"/>
    <cellStyle name="Comma 4 4 2" xfId="1042" xr:uid="{00000000-0005-0000-0000-000073030000}"/>
    <cellStyle name="Comma 4 4 2 2" xfId="1043" xr:uid="{00000000-0005-0000-0000-000074030000}"/>
    <cellStyle name="Comma 4 4 2 2 2" xfId="1044" xr:uid="{00000000-0005-0000-0000-000075030000}"/>
    <cellStyle name="Comma 4 4 2 2 2 2" xfId="1045" xr:uid="{00000000-0005-0000-0000-000076030000}"/>
    <cellStyle name="Comma 4 4 2 2 2 2 2" xfId="1046" xr:uid="{00000000-0005-0000-0000-000077030000}"/>
    <cellStyle name="Comma 4 4 2 2 2 3" xfId="1047" xr:uid="{00000000-0005-0000-0000-000078030000}"/>
    <cellStyle name="Comma 4 4 2 2 2 3 2" xfId="1048" xr:uid="{00000000-0005-0000-0000-000079030000}"/>
    <cellStyle name="Comma 4 4 2 2 2 4" xfId="1049" xr:uid="{00000000-0005-0000-0000-00007A030000}"/>
    <cellStyle name="Comma 4 4 2 2 3" xfId="1050" xr:uid="{00000000-0005-0000-0000-00007B030000}"/>
    <cellStyle name="Comma 4 4 2 2 3 2" xfId="1051" xr:uid="{00000000-0005-0000-0000-00007C030000}"/>
    <cellStyle name="Comma 4 4 2 2 4" xfId="1052" xr:uid="{00000000-0005-0000-0000-00007D030000}"/>
    <cellStyle name="Comma 4 4 2 2 4 2" xfId="1053" xr:uid="{00000000-0005-0000-0000-00007E030000}"/>
    <cellStyle name="Comma 4 4 2 2 5" xfId="1054" xr:uid="{00000000-0005-0000-0000-00007F030000}"/>
    <cellStyle name="Comma 4 4 2 3" xfId="1055" xr:uid="{00000000-0005-0000-0000-000080030000}"/>
    <cellStyle name="Comma 4 4 2 3 2" xfId="1056" xr:uid="{00000000-0005-0000-0000-000081030000}"/>
    <cellStyle name="Comma 4 4 2 3 2 2" xfId="1057" xr:uid="{00000000-0005-0000-0000-000082030000}"/>
    <cellStyle name="Comma 4 4 2 3 3" xfId="1058" xr:uid="{00000000-0005-0000-0000-000083030000}"/>
    <cellStyle name="Comma 4 4 2 3 3 2" xfId="1059" xr:uid="{00000000-0005-0000-0000-000084030000}"/>
    <cellStyle name="Comma 4 4 2 3 4" xfId="1060" xr:uid="{00000000-0005-0000-0000-000085030000}"/>
    <cellStyle name="Comma 4 4 2 4" xfId="1061" xr:uid="{00000000-0005-0000-0000-000086030000}"/>
    <cellStyle name="Comma 4 4 2 4 2" xfId="1062" xr:uid="{00000000-0005-0000-0000-000087030000}"/>
    <cellStyle name="Comma 4 4 2 5" xfId="1063" xr:uid="{00000000-0005-0000-0000-000088030000}"/>
    <cellStyle name="Comma 4 4 2 5 2" xfId="1064" xr:uid="{00000000-0005-0000-0000-000089030000}"/>
    <cellStyle name="Comma 4 4 2 6" xfId="1065" xr:uid="{00000000-0005-0000-0000-00008A030000}"/>
    <cellStyle name="Comma 4 4 3" xfId="1066" xr:uid="{00000000-0005-0000-0000-00008B030000}"/>
    <cellStyle name="Comma 4 4 3 2" xfId="1067" xr:uid="{00000000-0005-0000-0000-00008C030000}"/>
    <cellStyle name="Comma 4 4 3 2 2" xfId="1068" xr:uid="{00000000-0005-0000-0000-00008D030000}"/>
    <cellStyle name="Comma 4 4 3 2 2 2" xfId="1069" xr:uid="{00000000-0005-0000-0000-00008E030000}"/>
    <cellStyle name="Comma 4 4 3 2 3" xfId="1070" xr:uid="{00000000-0005-0000-0000-00008F030000}"/>
    <cellStyle name="Comma 4 4 3 2 3 2" xfId="1071" xr:uid="{00000000-0005-0000-0000-000090030000}"/>
    <cellStyle name="Comma 4 4 3 2 4" xfId="1072" xr:uid="{00000000-0005-0000-0000-000091030000}"/>
    <cellStyle name="Comma 4 4 3 3" xfId="1073" xr:uid="{00000000-0005-0000-0000-000092030000}"/>
    <cellStyle name="Comma 4 4 3 3 2" xfId="1074" xr:uid="{00000000-0005-0000-0000-000093030000}"/>
    <cellStyle name="Comma 4 4 3 4" xfId="1075" xr:uid="{00000000-0005-0000-0000-000094030000}"/>
    <cellStyle name="Comma 4 4 3 4 2" xfId="1076" xr:uid="{00000000-0005-0000-0000-000095030000}"/>
    <cellStyle name="Comma 4 4 3 5" xfId="1077" xr:uid="{00000000-0005-0000-0000-000096030000}"/>
    <cellStyle name="Comma 4 4 4" xfId="1078" xr:uid="{00000000-0005-0000-0000-000097030000}"/>
    <cellStyle name="Comma 4 4 4 2" xfId="1079" xr:uid="{00000000-0005-0000-0000-000098030000}"/>
    <cellStyle name="Comma 4 4 4 2 2" xfId="1080" xr:uid="{00000000-0005-0000-0000-000099030000}"/>
    <cellStyle name="Comma 4 4 4 3" xfId="1081" xr:uid="{00000000-0005-0000-0000-00009A030000}"/>
    <cellStyle name="Comma 4 4 4 3 2" xfId="1082" xr:uid="{00000000-0005-0000-0000-00009B030000}"/>
    <cellStyle name="Comma 4 4 4 4" xfId="1083" xr:uid="{00000000-0005-0000-0000-00009C030000}"/>
    <cellStyle name="Comma 4 4 5" xfId="1084" xr:uid="{00000000-0005-0000-0000-00009D030000}"/>
    <cellStyle name="Comma 4 4 5 2" xfId="1085" xr:uid="{00000000-0005-0000-0000-00009E030000}"/>
    <cellStyle name="Comma 4 4 5 3" xfId="1086" xr:uid="{00000000-0005-0000-0000-00009F030000}"/>
    <cellStyle name="Comma 4 4 6" xfId="1087" xr:uid="{00000000-0005-0000-0000-0000A0030000}"/>
    <cellStyle name="Comma 4 4 6 2" xfId="1088" xr:uid="{00000000-0005-0000-0000-0000A1030000}"/>
    <cellStyle name="Comma 4 4 7" xfId="1089" xr:uid="{00000000-0005-0000-0000-0000A2030000}"/>
    <cellStyle name="Comma 4 4 8" xfId="1090" xr:uid="{00000000-0005-0000-0000-0000A3030000}"/>
    <cellStyle name="Comma 4 4 9" xfId="1091" xr:uid="{00000000-0005-0000-0000-0000A4030000}"/>
    <cellStyle name="Comma 4 5" xfId="41" xr:uid="{00000000-0005-0000-0000-0000A5030000}"/>
    <cellStyle name="Comma 4 5 2" xfId="1092" xr:uid="{00000000-0005-0000-0000-0000A6030000}"/>
    <cellStyle name="Comma 4 5 2 2" xfId="1093" xr:uid="{00000000-0005-0000-0000-0000A7030000}"/>
    <cellStyle name="Comma 4 5 2 2 2" xfId="1094" xr:uid="{00000000-0005-0000-0000-0000A8030000}"/>
    <cellStyle name="Comma 4 5 2 2 2 2" xfId="1095" xr:uid="{00000000-0005-0000-0000-0000A9030000}"/>
    <cellStyle name="Comma 4 5 2 2 3" xfId="1096" xr:uid="{00000000-0005-0000-0000-0000AA030000}"/>
    <cellStyle name="Comma 4 5 2 2 3 2" xfId="1097" xr:uid="{00000000-0005-0000-0000-0000AB030000}"/>
    <cellStyle name="Comma 4 5 2 2 4" xfId="1098" xr:uid="{00000000-0005-0000-0000-0000AC030000}"/>
    <cellStyle name="Comma 4 5 2 3" xfId="1099" xr:uid="{00000000-0005-0000-0000-0000AD030000}"/>
    <cellStyle name="Comma 4 5 2 3 2" xfId="1100" xr:uid="{00000000-0005-0000-0000-0000AE030000}"/>
    <cellStyle name="Comma 4 5 2 4" xfId="1101" xr:uid="{00000000-0005-0000-0000-0000AF030000}"/>
    <cellStyle name="Comma 4 5 2 4 2" xfId="1102" xr:uid="{00000000-0005-0000-0000-0000B0030000}"/>
    <cellStyle name="Comma 4 5 2 5" xfId="1103" xr:uid="{00000000-0005-0000-0000-0000B1030000}"/>
    <cellStyle name="Comma 4 5 3" xfId="1104" xr:uid="{00000000-0005-0000-0000-0000B2030000}"/>
    <cellStyle name="Comma 4 5 3 2" xfId="1105" xr:uid="{00000000-0005-0000-0000-0000B3030000}"/>
    <cellStyle name="Comma 4 5 3 2 2" xfId="1106" xr:uid="{00000000-0005-0000-0000-0000B4030000}"/>
    <cellStyle name="Comma 4 5 3 3" xfId="1107" xr:uid="{00000000-0005-0000-0000-0000B5030000}"/>
    <cellStyle name="Comma 4 5 3 3 2" xfId="1108" xr:uid="{00000000-0005-0000-0000-0000B6030000}"/>
    <cellStyle name="Comma 4 5 3 4" xfId="1109" xr:uid="{00000000-0005-0000-0000-0000B7030000}"/>
    <cellStyle name="Comma 4 5 4" xfId="1110" xr:uid="{00000000-0005-0000-0000-0000B8030000}"/>
    <cellStyle name="Comma 4 5 4 2" xfId="1111" xr:uid="{00000000-0005-0000-0000-0000B9030000}"/>
    <cellStyle name="Comma 4 5 5" xfId="1112" xr:uid="{00000000-0005-0000-0000-0000BA030000}"/>
    <cellStyle name="Comma 4 5 5 2" xfId="1113" xr:uid="{00000000-0005-0000-0000-0000BB030000}"/>
    <cellStyle name="Comma 4 5 6" xfId="1114" xr:uid="{00000000-0005-0000-0000-0000BC030000}"/>
    <cellStyle name="Comma 4 6" xfId="1115" xr:uid="{00000000-0005-0000-0000-0000BD030000}"/>
    <cellStyle name="Comma 4 6 2" xfId="1116" xr:uid="{00000000-0005-0000-0000-0000BE030000}"/>
    <cellStyle name="Comma 4 6 2 2" xfId="1117" xr:uid="{00000000-0005-0000-0000-0000BF030000}"/>
    <cellStyle name="Comma 4 6 2 2 2" xfId="1118" xr:uid="{00000000-0005-0000-0000-0000C0030000}"/>
    <cellStyle name="Comma 4 6 2 3" xfId="1119" xr:uid="{00000000-0005-0000-0000-0000C1030000}"/>
    <cellStyle name="Comma 4 6 2 3 2" xfId="1120" xr:uid="{00000000-0005-0000-0000-0000C2030000}"/>
    <cellStyle name="Comma 4 6 2 4" xfId="1121" xr:uid="{00000000-0005-0000-0000-0000C3030000}"/>
    <cellStyle name="Comma 4 6 3" xfId="1122" xr:uid="{00000000-0005-0000-0000-0000C4030000}"/>
    <cellStyle name="Comma 4 6 3 2" xfId="1123" xr:uid="{00000000-0005-0000-0000-0000C5030000}"/>
    <cellStyle name="Comma 4 6 4" xfId="1124" xr:uid="{00000000-0005-0000-0000-0000C6030000}"/>
    <cellStyle name="Comma 4 6 4 2" xfId="1125" xr:uid="{00000000-0005-0000-0000-0000C7030000}"/>
    <cellStyle name="Comma 4 6 5" xfId="1126" xr:uid="{00000000-0005-0000-0000-0000C8030000}"/>
    <cellStyle name="Comma 4 6 6" xfId="1127" xr:uid="{00000000-0005-0000-0000-0000C9030000}"/>
    <cellStyle name="Comma 4 7" xfId="1128" xr:uid="{00000000-0005-0000-0000-0000CA030000}"/>
    <cellStyle name="Comma 4 7 2" xfId="1129" xr:uid="{00000000-0005-0000-0000-0000CB030000}"/>
    <cellStyle name="Comma 4 7 2 2" xfId="1130" xr:uid="{00000000-0005-0000-0000-0000CC030000}"/>
    <cellStyle name="Comma 4 7 3" xfId="1131" xr:uid="{00000000-0005-0000-0000-0000CD030000}"/>
    <cellStyle name="Comma 4 7 3 2" xfId="1132" xr:uid="{00000000-0005-0000-0000-0000CE030000}"/>
    <cellStyle name="Comma 4 7 4" xfId="1133" xr:uid="{00000000-0005-0000-0000-0000CF030000}"/>
    <cellStyle name="Comma 4 8" xfId="1134" xr:uid="{00000000-0005-0000-0000-0000D0030000}"/>
    <cellStyle name="Comma 4 8 2" xfId="1135" xr:uid="{00000000-0005-0000-0000-0000D1030000}"/>
    <cellStyle name="Comma 4 9" xfId="1136" xr:uid="{00000000-0005-0000-0000-0000D2030000}"/>
    <cellStyle name="Comma 4 9 2" xfId="1137" xr:uid="{00000000-0005-0000-0000-0000D3030000}"/>
    <cellStyle name="Comma 5" xfId="42" xr:uid="{00000000-0005-0000-0000-0000D4030000}"/>
    <cellStyle name="Comma 5 10" xfId="1139" xr:uid="{00000000-0005-0000-0000-0000D5030000}"/>
    <cellStyle name="Comma 5 11" xfId="1138" xr:uid="{00000000-0005-0000-0000-0000D6030000}"/>
    <cellStyle name="Comma 5 2" xfId="186" xr:uid="{00000000-0005-0000-0000-0000D7030000}"/>
    <cellStyle name="Comma 5 2 2" xfId="1140" xr:uid="{00000000-0005-0000-0000-0000D8030000}"/>
    <cellStyle name="Comma 5 2 2 2" xfId="1141" xr:uid="{00000000-0005-0000-0000-0000D9030000}"/>
    <cellStyle name="Comma 5 2 2 2 2" xfId="1142" xr:uid="{00000000-0005-0000-0000-0000DA030000}"/>
    <cellStyle name="Comma 5 2 2 2 2 2" xfId="1143" xr:uid="{00000000-0005-0000-0000-0000DB030000}"/>
    <cellStyle name="Comma 5 2 2 2 2 2 2" xfId="1144" xr:uid="{00000000-0005-0000-0000-0000DC030000}"/>
    <cellStyle name="Comma 5 2 2 2 2 2 2 2" xfId="1145" xr:uid="{00000000-0005-0000-0000-0000DD030000}"/>
    <cellStyle name="Comma 5 2 2 2 2 2 3" xfId="1146" xr:uid="{00000000-0005-0000-0000-0000DE030000}"/>
    <cellStyle name="Comma 5 2 2 2 2 2 3 2" xfId="1147" xr:uid="{00000000-0005-0000-0000-0000DF030000}"/>
    <cellStyle name="Comma 5 2 2 2 2 2 4" xfId="1148" xr:uid="{00000000-0005-0000-0000-0000E0030000}"/>
    <cellStyle name="Comma 5 2 2 2 2 3" xfId="1149" xr:uid="{00000000-0005-0000-0000-0000E1030000}"/>
    <cellStyle name="Comma 5 2 2 2 2 3 2" xfId="1150" xr:uid="{00000000-0005-0000-0000-0000E2030000}"/>
    <cellStyle name="Comma 5 2 2 2 2 4" xfId="1151" xr:uid="{00000000-0005-0000-0000-0000E3030000}"/>
    <cellStyle name="Comma 5 2 2 2 2 4 2" xfId="1152" xr:uid="{00000000-0005-0000-0000-0000E4030000}"/>
    <cellStyle name="Comma 5 2 2 2 2 5" xfId="1153" xr:uid="{00000000-0005-0000-0000-0000E5030000}"/>
    <cellStyle name="Comma 5 2 2 2 3" xfId="1154" xr:uid="{00000000-0005-0000-0000-0000E6030000}"/>
    <cellStyle name="Comma 5 2 2 2 3 2" xfId="1155" xr:uid="{00000000-0005-0000-0000-0000E7030000}"/>
    <cellStyle name="Comma 5 2 2 2 3 2 2" xfId="1156" xr:uid="{00000000-0005-0000-0000-0000E8030000}"/>
    <cellStyle name="Comma 5 2 2 2 3 3" xfId="1157" xr:uid="{00000000-0005-0000-0000-0000E9030000}"/>
    <cellStyle name="Comma 5 2 2 2 3 3 2" xfId="1158" xr:uid="{00000000-0005-0000-0000-0000EA030000}"/>
    <cellStyle name="Comma 5 2 2 2 3 4" xfId="1159" xr:uid="{00000000-0005-0000-0000-0000EB030000}"/>
    <cellStyle name="Comma 5 2 2 2 4" xfId="1160" xr:uid="{00000000-0005-0000-0000-0000EC030000}"/>
    <cellStyle name="Comma 5 2 2 2 4 2" xfId="1161" xr:uid="{00000000-0005-0000-0000-0000ED030000}"/>
    <cellStyle name="Comma 5 2 2 2 5" xfId="1162" xr:uid="{00000000-0005-0000-0000-0000EE030000}"/>
    <cellStyle name="Comma 5 2 2 2 5 2" xfId="1163" xr:uid="{00000000-0005-0000-0000-0000EF030000}"/>
    <cellStyle name="Comma 5 2 2 2 6" xfId="1164" xr:uid="{00000000-0005-0000-0000-0000F0030000}"/>
    <cellStyle name="Comma 5 2 2 3" xfId="1165" xr:uid="{00000000-0005-0000-0000-0000F1030000}"/>
    <cellStyle name="Comma 5 2 2 3 2" xfId="1166" xr:uid="{00000000-0005-0000-0000-0000F2030000}"/>
    <cellStyle name="Comma 5 2 2 3 2 2" xfId="1167" xr:uid="{00000000-0005-0000-0000-0000F3030000}"/>
    <cellStyle name="Comma 5 2 2 3 2 2 2" xfId="1168" xr:uid="{00000000-0005-0000-0000-0000F4030000}"/>
    <cellStyle name="Comma 5 2 2 3 2 3" xfId="1169" xr:uid="{00000000-0005-0000-0000-0000F5030000}"/>
    <cellStyle name="Comma 5 2 2 3 2 3 2" xfId="1170" xr:uid="{00000000-0005-0000-0000-0000F6030000}"/>
    <cellStyle name="Comma 5 2 2 3 2 4" xfId="1171" xr:uid="{00000000-0005-0000-0000-0000F7030000}"/>
    <cellStyle name="Comma 5 2 2 3 3" xfId="1172" xr:uid="{00000000-0005-0000-0000-0000F8030000}"/>
    <cellStyle name="Comma 5 2 2 3 3 2" xfId="1173" xr:uid="{00000000-0005-0000-0000-0000F9030000}"/>
    <cellStyle name="Comma 5 2 2 3 4" xfId="1174" xr:uid="{00000000-0005-0000-0000-0000FA030000}"/>
    <cellStyle name="Comma 5 2 2 3 4 2" xfId="1175" xr:uid="{00000000-0005-0000-0000-0000FB030000}"/>
    <cellStyle name="Comma 5 2 2 3 5" xfId="1176" xr:uid="{00000000-0005-0000-0000-0000FC030000}"/>
    <cellStyle name="Comma 5 2 2 4" xfId="1177" xr:uid="{00000000-0005-0000-0000-0000FD030000}"/>
    <cellStyle name="Comma 5 2 2 4 2" xfId="1178" xr:uid="{00000000-0005-0000-0000-0000FE030000}"/>
    <cellStyle name="Comma 5 2 2 4 2 2" xfId="1179" xr:uid="{00000000-0005-0000-0000-0000FF030000}"/>
    <cellStyle name="Comma 5 2 2 4 3" xfId="1180" xr:uid="{00000000-0005-0000-0000-000000040000}"/>
    <cellStyle name="Comma 5 2 2 4 3 2" xfId="1181" xr:uid="{00000000-0005-0000-0000-000001040000}"/>
    <cellStyle name="Comma 5 2 2 4 4" xfId="1182" xr:uid="{00000000-0005-0000-0000-000002040000}"/>
    <cellStyle name="Comma 5 2 2 5" xfId="1183" xr:uid="{00000000-0005-0000-0000-000003040000}"/>
    <cellStyle name="Comma 5 2 2 5 2" xfId="1184" xr:uid="{00000000-0005-0000-0000-000004040000}"/>
    <cellStyle name="Comma 5 2 2 6" xfId="1185" xr:uid="{00000000-0005-0000-0000-000005040000}"/>
    <cellStyle name="Comma 5 2 2 6 2" xfId="1186" xr:uid="{00000000-0005-0000-0000-000006040000}"/>
    <cellStyle name="Comma 5 2 2 7" xfId="1187" xr:uid="{00000000-0005-0000-0000-000007040000}"/>
    <cellStyle name="Comma 5 2 3" xfId="1188" xr:uid="{00000000-0005-0000-0000-000008040000}"/>
    <cellStyle name="Comma 5 2 3 2" xfId="1189" xr:uid="{00000000-0005-0000-0000-000009040000}"/>
    <cellStyle name="Comma 5 2 3 2 2" xfId="1190" xr:uid="{00000000-0005-0000-0000-00000A040000}"/>
    <cellStyle name="Comma 5 2 3 2 2 2" xfId="1191" xr:uid="{00000000-0005-0000-0000-00000B040000}"/>
    <cellStyle name="Comma 5 2 3 2 2 2 2" xfId="1192" xr:uid="{00000000-0005-0000-0000-00000C040000}"/>
    <cellStyle name="Comma 5 2 3 2 2 3" xfId="1193" xr:uid="{00000000-0005-0000-0000-00000D040000}"/>
    <cellStyle name="Comma 5 2 3 2 2 3 2" xfId="1194" xr:uid="{00000000-0005-0000-0000-00000E040000}"/>
    <cellStyle name="Comma 5 2 3 2 2 4" xfId="1195" xr:uid="{00000000-0005-0000-0000-00000F040000}"/>
    <cellStyle name="Comma 5 2 3 2 3" xfId="1196" xr:uid="{00000000-0005-0000-0000-000010040000}"/>
    <cellStyle name="Comma 5 2 3 2 3 2" xfId="1197" xr:uid="{00000000-0005-0000-0000-000011040000}"/>
    <cellStyle name="Comma 5 2 3 2 4" xfId="1198" xr:uid="{00000000-0005-0000-0000-000012040000}"/>
    <cellStyle name="Comma 5 2 3 2 4 2" xfId="1199" xr:uid="{00000000-0005-0000-0000-000013040000}"/>
    <cellStyle name="Comma 5 2 3 2 5" xfId="1200" xr:uid="{00000000-0005-0000-0000-000014040000}"/>
    <cellStyle name="Comma 5 2 3 3" xfId="1201" xr:uid="{00000000-0005-0000-0000-000015040000}"/>
    <cellStyle name="Comma 5 2 3 3 2" xfId="1202" xr:uid="{00000000-0005-0000-0000-000016040000}"/>
    <cellStyle name="Comma 5 2 3 3 2 2" xfId="1203" xr:uid="{00000000-0005-0000-0000-000017040000}"/>
    <cellStyle name="Comma 5 2 3 3 3" xfId="1204" xr:uid="{00000000-0005-0000-0000-000018040000}"/>
    <cellStyle name="Comma 5 2 3 3 3 2" xfId="1205" xr:uid="{00000000-0005-0000-0000-000019040000}"/>
    <cellStyle name="Comma 5 2 3 3 4" xfId="1206" xr:uid="{00000000-0005-0000-0000-00001A040000}"/>
    <cellStyle name="Comma 5 2 3 4" xfId="1207" xr:uid="{00000000-0005-0000-0000-00001B040000}"/>
    <cellStyle name="Comma 5 2 3 4 2" xfId="1208" xr:uid="{00000000-0005-0000-0000-00001C040000}"/>
    <cellStyle name="Comma 5 2 3 5" xfId="1209" xr:uid="{00000000-0005-0000-0000-00001D040000}"/>
    <cellStyle name="Comma 5 2 3 5 2" xfId="1210" xr:uid="{00000000-0005-0000-0000-00001E040000}"/>
    <cellStyle name="Comma 5 2 3 6" xfId="1211" xr:uid="{00000000-0005-0000-0000-00001F040000}"/>
    <cellStyle name="Comma 5 2 4" xfId="1212" xr:uid="{00000000-0005-0000-0000-000020040000}"/>
    <cellStyle name="Comma 5 2 4 2" xfId="1213" xr:uid="{00000000-0005-0000-0000-000021040000}"/>
    <cellStyle name="Comma 5 2 4 2 2" xfId="1214" xr:uid="{00000000-0005-0000-0000-000022040000}"/>
    <cellStyle name="Comma 5 2 4 2 2 2" xfId="1215" xr:uid="{00000000-0005-0000-0000-000023040000}"/>
    <cellStyle name="Comma 5 2 4 2 3" xfId="1216" xr:uid="{00000000-0005-0000-0000-000024040000}"/>
    <cellStyle name="Comma 5 2 4 2 3 2" xfId="1217" xr:uid="{00000000-0005-0000-0000-000025040000}"/>
    <cellStyle name="Comma 5 2 4 2 4" xfId="1218" xr:uid="{00000000-0005-0000-0000-000026040000}"/>
    <cellStyle name="Comma 5 2 4 3" xfId="1219" xr:uid="{00000000-0005-0000-0000-000027040000}"/>
    <cellStyle name="Comma 5 2 4 3 2" xfId="1220" xr:uid="{00000000-0005-0000-0000-000028040000}"/>
    <cellStyle name="Comma 5 2 4 4" xfId="1221" xr:uid="{00000000-0005-0000-0000-000029040000}"/>
    <cellStyle name="Comma 5 2 4 4 2" xfId="1222" xr:uid="{00000000-0005-0000-0000-00002A040000}"/>
    <cellStyle name="Comma 5 2 4 5" xfId="1223" xr:uid="{00000000-0005-0000-0000-00002B040000}"/>
    <cellStyle name="Comma 5 2 5" xfId="1224" xr:uid="{00000000-0005-0000-0000-00002C040000}"/>
    <cellStyle name="Comma 5 2 5 2" xfId="1225" xr:uid="{00000000-0005-0000-0000-00002D040000}"/>
    <cellStyle name="Comma 5 2 5 2 2" xfId="1226" xr:uid="{00000000-0005-0000-0000-00002E040000}"/>
    <cellStyle name="Comma 5 2 5 3" xfId="1227" xr:uid="{00000000-0005-0000-0000-00002F040000}"/>
    <cellStyle name="Comma 5 2 5 3 2" xfId="1228" xr:uid="{00000000-0005-0000-0000-000030040000}"/>
    <cellStyle name="Comma 5 2 5 4" xfId="1229" xr:uid="{00000000-0005-0000-0000-000031040000}"/>
    <cellStyle name="Comma 5 2 6" xfId="1230" xr:uid="{00000000-0005-0000-0000-000032040000}"/>
    <cellStyle name="Comma 5 2 6 2" xfId="1231" xr:uid="{00000000-0005-0000-0000-000033040000}"/>
    <cellStyle name="Comma 5 2 7" xfId="1232" xr:uid="{00000000-0005-0000-0000-000034040000}"/>
    <cellStyle name="Comma 5 2 7 2" xfId="1233" xr:uid="{00000000-0005-0000-0000-000035040000}"/>
    <cellStyle name="Comma 5 2 8" xfId="1234" xr:uid="{00000000-0005-0000-0000-000036040000}"/>
    <cellStyle name="Comma 5 2 9" xfId="1235" xr:uid="{00000000-0005-0000-0000-000037040000}"/>
    <cellStyle name="Comma 5 3" xfId="1236" xr:uid="{00000000-0005-0000-0000-000038040000}"/>
    <cellStyle name="Comma 5 3 2" xfId="1237" xr:uid="{00000000-0005-0000-0000-000039040000}"/>
    <cellStyle name="Comma 5 3 2 2" xfId="1238" xr:uid="{00000000-0005-0000-0000-00003A040000}"/>
    <cellStyle name="Comma 5 3 2 2 2" xfId="1239" xr:uid="{00000000-0005-0000-0000-00003B040000}"/>
    <cellStyle name="Comma 5 3 2 2 2 2" xfId="1240" xr:uid="{00000000-0005-0000-0000-00003C040000}"/>
    <cellStyle name="Comma 5 3 2 2 2 2 2" xfId="1241" xr:uid="{00000000-0005-0000-0000-00003D040000}"/>
    <cellStyle name="Comma 5 3 2 2 2 3" xfId="1242" xr:uid="{00000000-0005-0000-0000-00003E040000}"/>
    <cellStyle name="Comma 5 3 2 2 2 3 2" xfId="1243" xr:uid="{00000000-0005-0000-0000-00003F040000}"/>
    <cellStyle name="Comma 5 3 2 2 2 4" xfId="1244" xr:uid="{00000000-0005-0000-0000-000040040000}"/>
    <cellStyle name="Comma 5 3 2 2 3" xfId="1245" xr:uid="{00000000-0005-0000-0000-000041040000}"/>
    <cellStyle name="Comma 5 3 2 2 3 2" xfId="1246" xr:uid="{00000000-0005-0000-0000-000042040000}"/>
    <cellStyle name="Comma 5 3 2 2 4" xfId="1247" xr:uid="{00000000-0005-0000-0000-000043040000}"/>
    <cellStyle name="Comma 5 3 2 2 4 2" xfId="1248" xr:uid="{00000000-0005-0000-0000-000044040000}"/>
    <cellStyle name="Comma 5 3 2 2 5" xfId="1249" xr:uid="{00000000-0005-0000-0000-000045040000}"/>
    <cellStyle name="Comma 5 3 2 3" xfId="1250" xr:uid="{00000000-0005-0000-0000-000046040000}"/>
    <cellStyle name="Comma 5 3 2 3 2" xfId="1251" xr:uid="{00000000-0005-0000-0000-000047040000}"/>
    <cellStyle name="Comma 5 3 2 3 2 2" xfId="1252" xr:uid="{00000000-0005-0000-0000-000048040000}"/>
    <cellStyle name="Comma 5 3 2 3 3" xfId="1253" xr:uid="{00000000-0005-0000-0000-000049040000}"/>
    <cellStyle name="Comma 5 3 2 3 3 2" xfId="1254" xr:uid="{00000000-0005-0000-0000-00004A040000}"/>
    <cellStyle name="Comma 5 3 2 3 4" xfId="1255" xr:uid="{00000000-0005-0000-0000-00004B040000}"/>
    <cellStyle name="Comma 5 3 2 4" xfId="1256" xr:uid="{00000000-0005-0000-0000-00004C040000}"/>
    <cellStyle name="Comma 5 3 2 4 2" xfId="1257" xr:uid="{00000000-0005-0000-0000-00004D040000}"/>
    <cellStyle name="Comma 5 3 2 5" xfId="1258" xr:uid="{00000000-0005-0000-0000-00004E040000}"/>
    <cellStyle name="Comma 5 3 2 5 2" xfId="1259" xr:uid="{00000000-0005-0000-0000-00004F040000}"/>
    <cellStyle name="Comma 5 3 2 6" xfId="1260" xr:uid="{00000000-0005-0000-0000-000050040000}"/>
    <cellStyle name="Comma 5 3 3" xfId="1261" xr:uid="{00000000-0005-0000-0000-000051040000}"/>
    <cellStyle name="Comma 5 3 3 2" xfId="1262" xr:uid="{00000000-0005-0000-0000-000052040000}"/>
    <cellStyle name="Comma 5 3 3 2 2" xfId="1263" xr:uid="{00000000-0005-0000-0000-000053040000}"/>
    <cellStyle name="Comma 5 3 3 2 2 2" xfId="1264" xr:uid="{00000000-0005-0000-0000-000054040000}"/>
    <cellStyle name="Comma 5 3 3 2 3" xfId="1265" xr:uid="{00000000-0005-0000-0000-000055040000}"/>
    <cellStyle name="Comma 5 3 3 2 3 2" xfId="1266" xr:uid="{00000000-0005-0000-0000-000056040000}"/>
    <cellStyle name="Comma 5 3 3 2 4" xfId="1267" xr:uid="{00000000-0005-0000-0000-000057040000}"/>
    <cellStyle name="Comma 5 3 3 3" xfId="1268" xr:uid="{00000000-0005-0000-0000-000058040000}"/>
    <cellStyle name="Comma 5 3 3 3 2" xfId="1269" xr:uid="{00000000-0005-0000-0000-000059040000}"/>
    <cellStyle name="Comma 5 3 3 4" xfId="1270" xr:uid="{00000000-0005-0000-0000-00005A040000}"/>
    <cellStyle name="Comma 5 3 3 4 2" xfId="1271" xr:uid="{00000000-0005-0000-0000-00005B040000}"/>
    <cellStyle name="Comma 5 3 3 5" xfId="1272" xr:uid="{00000000-0005-0000-0000-00005C040000}"/>
    <cellStyle name="Comma 5 3 4" xfId="1273" xr:uid="{00000000-0005-0000-0000-00005D040000}"/>
    <cellStyle name="Comma 5 3 4 2" xfId="1274" xr:uid="{00000000-0005-0000-0000-00005E040000}"/>
    <cellStyle name="Comma 5 3 4 2 2" xfId="1275" xr:uid="{00000000-0005-0000-0000-00005F040000}"/>
    <cellStyle name="Comma 5 3 4 3" xfId="1276" xr:uid="{00000000-0005-0000-0000-000060040000}"/>
    <cellStyle name="Comma 5 3 4 3 2" xfId="1277" xr:uid="{00000000-0005-0000-0000-000061040000}"/>
    <cellStyle name="Comma 5 3 4 4" xfId="1278" xr:uid="{00000000-0005-0000-0000-000062040000}"/>
    <cellStyle name="Comma 5 3 5" xfId="1279" xr:uid="{00000000-0005-0000-0000-000063040000}"/>
    <cellStyle name="Comma 5 3 5 2" xfId="1280" xr:uid="{00000000-0005-0000-0000-000064040000}"/>
    <cellStyle name="Comma 5 3 6" xfId="1281" xr:uid="{00000000-0005-0000-0000-000065040000}"/>
    <cellStyle name="Comma 5 3 6 2" xfId="1282" xr:uid="{00000000-0005-0000-0000-000066040000}"/>
    <cellStyle name="Comma 5 3 7" xfId="1283" xr:uid="{00000000-0005-0000-0000-000067040000}"/>
    <cellStyle name="Comma 5 4" xfId="1284" xr:uid="{00000000-0005-0000-0000-000068040000}"/>
    <cellStyle name="Comma 5 4 2" xfId="1285" xr:uid="{00000000-0005-0000-0000-000069040000}"/>
    <cellStyle name="Comma 5 4 2 2" xfId="1286" xr:uid="{00000000-0005-0000-0000-00006A040000}"/>
    <cellStyle name="Comma 5 4 2 2 2" xfId="1287" xr:uid="{00000000-0005-0000-0000-00006B040000}"/>
    <cellStyle name="Comma 5 4 2 2 2 2" xfId="1288" xr:uid="{00000000-0005-0000-0000-00006C040000}"/>
    <cellStyle name="Comma 5 4 2 2 2 2 2" xfId="1289" xr:uid="{00000000-0005-0000-0000-00006D040000}"/>
    <cellStyle name="Comma 5 4 2 2 2 3" xfId="1290" xr:uid="{00000000-0005-0000-0000-00006E040000}"/>
    <cellStyle name="Comma 5 4 2 2 2 3 2" xfId="1291" xr:uid="{00000000-0005-0000-0000-00006F040000}"/>
    <cellStyle name="Comma 5 4 2 2 2 4" xfId="1292" xr:uid="{00000000-0005-0000-0000-000070040000}"/>
    <cellStyle name="Comma 5 4 2 2 3" xfId="1293" xr:uid="{00000000-0005-0000-0000-000071040000}"/>
    <cellStyle name="Comma 5 4 2 2 3 2" xfId="1294" xr:uid="{00000000-0005-0000-0000-000072040000}"/>
    <cellStyle name="Comma 5 4 2 2 4" xfId="1295" xr:uid="{00000000-0005-0000-0000-000073040000}"/>
    <cellStyle name="Comma 5 4 2 2 4 2" xfId="1296" xr:uid="{00000000-0005-0000-0000-000074040000}"/>
    <cellStyle name="Comma 5 4 2 2 5" xfId="1297" xr:uid="{00000000-0005-0000-0000-000075040000}"/>
    <cellStyle name="Comma 5 4 2 3" xfId="1298" xr:uid="{00000000-0005-0000-0000-000076040000}"/>
    <cellStyle name="Comma 5 4 2 3 2" xfId="1299" xr:uid="{00000000-0005-0000-0000-000077040000}"/>
    <cellStyle name="Comma 5 4 2 3 2 2" xfId="1300" xr:uid="{00000000-0005-0000-0000-000078040000}"/>
    <cellStyle name="Comma 5 4 2 3 3" xfId="1301" xr:uid="{00000000-0005-0000-0000-000079040000}"/>
    <cellStyle name="Comma 5 4 2 3 3 2" xfId="1302" xr:uid="{00000000-0005-0000-0000-00007A040000}"/>
    <cellStyle name="Comma 5 4 2 3 4" xfId="1303" xr:uid="{00000000-0005-0000-0000-00007B040000}"/>
    <cellStyle name="Comma 5 4 2 4" xfId="1304" xr:uid="{00000000-0005-0000-0000-00007C040000}"/>
    <cellStyle name="Comma 5 4 2 4 2" xfId="1305" xr:uid="{00000000-0005-0000-0000-00007D040000}"/>
    <cellStyle name="Comma 5 4 2 5" xfId="1306" xr:uid="{00000000-0005-0000-0000-00007E040000}"/>
    <cellStyle name="Comma 5 4 2 5 2" xfId="1307" xr:uid="{00000000-0005-0000-0000-00007F040000}"/>
    <cellStyle name="Comma 5 4 2 6" xfId="1308" xr:uid="{00000000-0005-0000-0000-000080040000}"/>
    <cellStyle name="Comma 5 4 3" xfId="1309" xr:uid="{00000000-0005-0000-0000-000081040000}"/>
    <cellStyle name="Comma 5 4 3 2" xfId="1310" xr:uid="{00000000-0005-0000-0000-000082040000}"/>
    <cellStyle name="Comma 5 4 3 2 2" xfId="1311" xr:uid="{00000000-0005-0000-0000-000083040000}"/>
    <cellStyle name="Comma 5 4 3 2 2 2" xfId="1312" xr:uid="{00000000-0005-0000-0000-000084040000}"/>
    <cellStyle name="Comma 5 4 3 2 3" xfId="1313" xr:uid="{00000000-0005-0000-0000-000085040000}"/>
    <cellStyle name="Comma 5 4 3 2 3 2" xfId="1314" xr:uid="{00000000-0005-0000-0000-000086040000}"/>
    <cellStyle name="Comma 5 4 3 2 4" xfId="1315" xr:uid="{00000000-0005-0000-0000-000087040000}"/>
    <cellStyle name="Comma 5 4 3 3" xfId="1316" xr:uid="{00000000-0005-0000-0000-000088040000}"/>
    <cellStyle name="Comma 5 4 3 3 2" xfId="1317" xr:uid="{00000000-0005-0000-0000-000089040000}"/>
    <cellStyle name="Comma 5 4 3 4" xfId="1318" xr:uid="{00000000-0005-0000-0000-00008A040000}"/>
    <cellStyle name="Comma 5 4 3 4 2" xfId="1319" xr:uid="{00000000-0005-0000-0000-00008B040000}"/>
    <cellStyle name="Comma 5 4 3 5" xfId="1320" xr:uid="{00000000-0005-0000-0000-00008C040000}"/>
    <cellStyle name="Comma 5 4 4" xfId="1321" xr:uid="{00000000-0005-0000-0000-00008D040000}"/>
    <cellStyle name="Comma 5 4 4 2" xfId="1322" xr:uid="{00000000-0005-0000-0000-00008E040000}"/>
    <cellStyle name="Comma 5 4 4 2 2" xfId="1323" xr:uid="{00000000-0005-0000-0000-00008F040000}"/>
    <cellStyle name="Comma 5 4 4 3" xfId="1324" xr:uid="{00000000-0005-0000-0000-000090040000}"/>
    <cellStyle name="Comma 5 4 4 3 2" xfId="1325" xr:uid="{00000000-0005-0000-0000-000091040000}"/>
    <cellStyle name="Comma 5 4 4 4" xfId="1326" xr:uid="{00000000-0005-0000-0000-000092040000}"/>
    <cellStyle name="Comma 5 4 5" xfId="1327" xr:uid="{00000000-0005-0000-0000-000093040000}"/>
    <cellStyle name="Comma 5 4 5 2" xfId="1328" xr:uid="{00000000-0005-0000-0000-000094040000}"/>
    <cellStyle name="Comma 5 4 6" xfId="1329" xr:uid="{00000000-0005-0000-0000-000095040000}"/>
    <cellStyle name="Comma 5 4 6 2" xfId="1330" xr:uid="{00000000-0005-0000-0000-000096040000}"/>
    <cellStyle name="Comma 5 4 7" xfId="1331" xr:uid="{00000000-0005-0000-0000-000097040000}"/>
    <cellStyle name="Comma 5 5" xfId="1332" xr:uid="{00000000-0005-0000-0000-000098040000}"/>
    <cellStyle name="Comma 5 5 2" xfId="1333" xr:uid="{00000000-0005-0000-0000-000099040000}"/>
    <cellStyle name="Comma 5 5 2 2" xfId="1334" xr:uid="{00000000-0005-0000-0000-00009A040000}"/>
    <cellStyle name="Comma 5 5 2 2 2" xfId="1335" xr:uid="{00000000-0005-0000-0000-00009B040000}"/>
    <cellStyle name="Comma 5 5 2 2 2 2" xfId="1336" xr:uid="{00000000-0005-0000-0000-00009C040000}"/>
    <cellStyle name="Comma 5 5 2 2 3" xfId="1337" xr:uid="{00000000-0005-0000-0000-00009D040000}"/>
    <cellStyle name="Comma 5 5 2 2 3 2" xfId="1338" xr:uid="{00000000-0005-0000-0000-00009E040000}"/>
    <cellStyle name="Comma 5 5 2 2 4" xfId="1339" xr:uid="{00000000-0005-0000-0000-00009F040000}"/>
    <cellStyle name="Comma 5 5 2 3" xfId="1340" xr:uid="{00000000-0005-0000-0000-0000A0040000}"/>
    <cellStyle name="Comma 5 5 2 3 2" xfId="1341" xr:uid="{00000000-0005-0000-0000-0000A1040000}"/>
    <cellStyle name="Comma 5 5 2 4" xfId="1342" xr:uid="{00000000-0005-0000-0000-0000A2040000}"/>
    <cellStyle name="Comma 5 5 2 4 2" xfId="1343" xr:uid="{00000000-0005-0000-0000-0000A3040000}"/>
    <cellStyle name="Comma 5 5 2 5" xfId="1344" xr:uid="{00000000-0005-0000-0000-0000A4040000}"/>
    <cellStyle name="Comma 5 5 3" xfId="1345" xr:uid="{00000000-0005-0000-0000-0000A5040000}"/>
    <cellStyle name="Comma 5 5 3 2" xfId="1346" xr:uid="{00000000-0005-0000-0000-0000A6040000}"/>
    <cellStyle name="Comma 5 5 3 2 2" xfId="1347" xr:uid="{00000000-0005-0000-0000-0000A7040000}"/>
    <cellStyle name="Comma 5 5 3 3" xfId="1348" xr:uid="{00000000-0005-0000-0000-0000A8040000}"/>
    <cellStyle name="Comma 5 5 3 3 2" xfId="1349" xr:uid="{00000000-0005-0000-0000-0000A9040000}"/>
    <cellStyle name="Comma 5 5 3 4" xfId="1350" xr:uid="{00000000-0005-0000-0000-0000AA040000}"/>
    <cellStyle name="Comma 5 5 4" xfId="1351" xr:uid="{00000000-0005-0000-0000-0000AB040000}"/>
    <cellStyle name="Comma 5 5 4 2" xfId="1352" xr:uid="{00000000-0005-0000-0000-0000AC040000}"/>
    <cellStyle name="Comma 5 5 5" xfId="1353" xr:uid="{00000000-0005-0000-0000-0000AD040000}"/>
    <cellStyle name="Comma 5 5 5 2" xfId="1354" xr:uid="{00000000-0005-0000-0000-0000AE040000}"/>
    <cellStyle name="Comma 5 5 6" xfId="1355" xr:uid="{00000000-0005-0000-0000-0000AF040000}"/>
    <cellStyle name="Comma 5 6" xfId="1356" xr:uid="{00000000-0005-0000-0000-0000B0040000}"/>
    <cellStyle name="Comma 5 6 2" xfId="1357" xr:uid="{00000000-0005-0000-0000-0000B1040000}"/>
    <cellStyle name="Comma 5 6 2 2" xfId="1358" xr:uid="{00000000-0005-0000-0000-0000B2040000}"/>
    <cellStyle name="Comma 5 6 2 2 2" xfId="1359" xr:uid="{00000000-0005-0000-0000-0000B3040000}"/>
    <cellStyle name="Comma 5 6 2 3" xfId="1360" xr:uid="{00000000-0005-0000-0000-0000B4040000}"/>
    <cellStyle name="Comma 5 6 2 3 2" xfId="1361" xr:uid="{00000000-0005-0000-0000-0000B5040000}"/>
    <cellStyle name="Comma 5 6 2 4" xfId="1362" xr:uid="{00000000-0005-0000-0000-0000B6040000}"/>
    <cellStyle name="Comma 5 6 3" xfId="1363" xr:uid="{00000000-0005-0000-0000-0000B7040000}"/>
    <cellStyle name="Comma 5 6 3 2" xfId="1364" xr:uid="{00000000-0005-0000-0000-0000B8040000}"/>
    <cellStyle name="Comma 5 6 4" xfId="1365" xr:uid="{00000000-0005-0000-0000-0000B9040000}"/>
    <cellStyle name="Comma 5 6 4 2" xfId="1366" xr:uid="{00000000-0005-0000-0000-0000BA040000}"/>
    <cellStyle name="Comma 5 6 5" xfId="1367" xr:uid="{00000000-0005-0000-0000-0000BB040000}"/>
    <cellStyle name="Comma 5 7" xfId="1368" xr:uid="{00000000-0005-0000-0000-0000BC040000}"/>
    <cellStyle name="Comma 5 7 2" xfId="1369" xr:uid="{00000000-0005-0000-0000-0000BD040000}"/>
    <cellStyle name="Comma 5 7 2 2" xfId="1370" xr:uid="{00000000-0005-0000-0000-0000BE040000}"/>
    <cellStyle name="Comma 5 7 3" xfId="1371" xr:uid="{00000000-0005-0000-0000-0000BF040000}"/>
    <cellStyle name="Comma 5 7 3 2" xfId="1372" xr:uid="{00000000-0005-0000-0000-0000C0040000}"/>
    <cellStyle name="Comma 5 7 4" xfId="1373" xr:uid="{00000000-0005-0000-0000-0000C1040000}"/>
    <cellStyle name="Comma 5 8" xfId="1374" xr:uid="{00000000-0005-0000-0000-0000C2040000}"/>
    <cellStyle name="Comma 5 8 2" xfId="1375" xr:uid="{00000000-0005-0000-0000-0000C3040000}"/>
    <cellStyle name="Comma 5 9" xfId="1376" xr:uid="{00000000-0005-0000-0000-0000C4040000}"/>
    <cellStyle name="Comma 5 9 2" xfId="1377" xr:uid="{00000000-0005-0000-0000-0000C5040000}"/>
    <cellStyle name="Comma 6" xfId="43" xr:uid="{00000000-0005-0000-0000-0000C6040000}"/>
    <cellStyle name="Comma 6 10" xfId="1378" xr:uid="{00000000-0005-0000-0000-0000C7040000}"/>
    <cellStyle name="Comma 6 2" xfId="187" xr:uid="{00000000-0005-0000-0000-0000C8040000}"/>
    <cellStyle name="Comma 6 2 2" xfId="1380" xr:uid="{00000000-0005-0000-0000-0000C9040000}"/>
    <cellStyle name="Comma 6 2 2 2" xfId="1381" xr:uid="{00000000-0005-0000-0000-0000CA040000}"/>
    <cellStyle name="Comma 6 2 2 2 2" xfId="1382" xr:uid="{00000000-0005-0000-0000-0000CB040000}"/>
    <cellStyle name="Comma 6 2 2 2 2 2" xfId="1383" xr:uid="{00000000-0005-0000-0000-0000CC040000}"/>
    <cellStyle name="Comma 6 2 2 2 2 2 2" xfId="1384" xr:uid="{00000000-0005-0000-0000-0000CD040000}"/>
    <cellStyle name="Comma 6 2 2 2 2 2 2 2" xfId="1385" xr:uid="{00000000-0005-0000-0000-0000CE040000}"/>
    <cellStyle name="Comma 6 2 2 2 2 2 3" xfId="1386" xr:uid="{00000000-0005-0000-0000-0000CF040000}"/>
    <cellStyle name="Comma 6 2 2 2 2 2 3 2" xfId="1387" xr:uid="{00000000-0005-0000-0000-0000D0040000}"/>
    <cellStyle name="Comma 6 2 2 2 2 2 4" xfId="1388" xr:uid="{00000000-0005-0000-0000-0000D1040000}"/>
    <cellStyle name="Comma 6 2 2 2 2 3" xfId="1389" xr:uid="{00000000-0005-0000-0000-0000D2040000}"/>
    <cellStyle name="Comma 6 2 2 2 2 3 2" xfId="1390" xr:uid="{00000000-0005-0000-0000-0000D3040000}"/>
    <cellStyle name="Comma 6 2 2 2 2 4" xfId="1391" xr:uid="{00000000-0005-0000-0000-0000D4040000}"/>
    <cellStyle name="Comma 6 2 2 2 2 4 2" xfId="1392" xr:uid="{00000000-0005-0000-0000-0000D5040000}"/>
    <cellStyle name="Comma 6 2 2 2 2 5" xfId="1393" xr:uid="{00000000-0005-0000-0000-0000D6040000}"/>
    <cellStyle name="Comma 6 2 2 2 3" xfId="1394" xr:uid="{00000000-0005-0000-0000-0000D7040000}"/>
    <cellStyle name="Comma 6 2 2 2 3 2" xfId="1395" xr:uid="{00000000-0005-0000-0000-0000D8040000}"/>
    <cellStyle name="Comma 6 2 2 2 3 2 2" xfId="1396" xr:uid="{00000000-0005-0000-0000-0000D9040000}"/>
    <cellStyle name="Comma 6 2 2 2 3 3" xfId="1397" xr:uid="{00000000-0005-0000-0000-0000DA040000}"/>
    <cellStyle name="Comma 6 2 2 2 3 3 2" xfId="1398" xr:uid="{00000000-0005-0000-0000-0000DB040000}"/>
    <cellStyle name="Comma 6 2 2 2 3 4" xfId="1399" xr:uid="{00000000-0005-0000-0000-0000DC040000}"/>
    <cellStyle name="Comma 6 2 2 2 4" xfId="1400" xr:uid="{00000000-0005-0000-0000-0000DD040000}"/>
    <cellStyle name="Comma 6 2 2 2 4 2" xfId="1401" xr:uid="{00000000-0005-0000-0000-0000DE040000}"/>
    <cellStyle name="Comma 6 2 2 2 5" xfId="1402" xr:uid="{00000000-0005-0000-0000-0000DF040000}"/>
    <cellStyle name="Comma 6 2 2 2 5 2" xfId="1403" xr:uid="{00000000-0005-0000-0000-0000E0040000}"/>
    <cellStyle name="Comma 6 2 2 2 6" xfId="1404" xr:uid="{00000000-0005-0000-0000-0000E1040000}"/>
    <cellStyle name="Comma 6 2 2 3" xfId="1405" xr:uid="{00000000-0005-0000-0000-0000E2040000}"/>
    <cellStyle name="Comma 6 2 2 3 2" xfId="1406" xr:uid="{00000000-0005-0000-0000-0000E3040000}"/>
    <cellStyle name="Comma 6 2 2 3 2 2" xfId="1407" xr:uid="{00000000-0005-0000-0000-0000E4040000}"/>
    <cellStyle name="Comma 6 2 2 3 2 2 2" xfId="1408" xr:uid="{00000000-0005-0000-0000-0000E5040000}"/>
    <cellStyle name="Comma 6 2 2 3 2 3" xfId="1409" xr:uid="{00000000-0005-0000-0000-0000E6040000}"/>
    <cellStyle name="Comma 6 2 2 3 2 3 2" xfId="1410" xr:uid="{00000000-0005-0000-0000-0000E7040000}"/>
    <cellStyle name="Comma 6 2 2 3 2 4" xfId="1411" xr:uid="{00000000-0005-0000-0000-0000E8040000}"/>
    <cellStyle name="Comma 6 2 2 3 3" xfId="1412" xr:uid="{00000000-0005-0000-0000-0000E9040000}"/>
    <cellStyle name="Comma 6 2 2 3 3 2" xfId="1413" xr:uid="{00000000-0005-0000-0000-0000EA040000}"/>
    <cellStyle name="Comma 6 2 2 3 4" xfId="1414" xr:uid="{00000000-0005-0000-0000-0000EB040000}"/>
    <cellStyle name="Comma 6 2 2 3 4 2" xfId="1415" xr:uid="{00000000-0005-0000-0000-0000EC040000}"/>
    <cellStyle name="Comma 6 2 2 3 5" xfId="1416" xr:uid="{00000000-0005-0000-0000-0000ED040000}"/>
    <cellStyle name="Comma 6 2 2 4" xfId="1417" xr:uid="{00000000-0005-0000-0000-0000EE040000}"/>
    <cellStyle name="Comma 6 2 2 4 2" xfId="1418" xr:uid="{00000000-0005-0000-0000-0000EF040000}"/>
    <cellStyle name="Comma 6 2 2 4 2 2" xfId="1419" xr:uid="{00000000-0005-0000-0000-0000F0040000}"/>
    <cellStyle name="Comma 6 2 2 4 3" xfId="1420" xr:uid="{00000000-0005-0000-0000-0000F1040000}"/>
    <cellStyle name="Comma 6 2 2 4 3 2" xfId="1421" xr:uid="{00000000-0005-0000-0000-0000F2040000}"/>
    <cellStyle name="Comma 6 2 2 4 4" xfId="1422" xr:uid="{00000000-0005-0000-0000-0000F3040000}"/>
    <cellStyle name="Comma 6 2 2 5" xfId="1423" xr:uid="{00000000-0005-0000-0000-0000F4040000}"/>
    <cellStyle name="Comma 6 2 2 5 2" xfId="1424" xr:uid="{00000000-0005-0000-0000-0000F5040000}"/>
    <cellStyle name="Comma 6 2 2 6" xfId="1425" xr:uid="{00000000-0005-0000-0000-0000F6040000}"/>
    <cellStyle name="Comma 6 2 2 6 2" xfId="1426" xr:uid="{00000000-0005-0000-0000-0000F7040000}"/>
    <cellStyle name="Comma 6 2 2 7" xfId="1427" xr:uid="{00000000-0005-0000-0000-0000F8040000}"/>
    <cellStyle name="Comma 6 2 3" xfId="1428" xr:uid="{00000000-0005-0000-0000-0000F9040000}"/>
    <cellStyle name="Comma 6 2 3 2" xfId="1429" xr:uid="{00000000-0005-0000-0000-0000FA040000}"/>
    <cellStyle name="Comma 6 2 3 2 2" xfId="1430" xr:uid="{00000000-0005-0000-0000-0000FB040000}"/>
    <cellStyle name="Comma 6 2 3 2 2 2" xfId="1431" xr:uid="{00000000-0005-0000-0000-0000FC040000}"/>
    <cellStyle name="Comma 6 2 3 2 2 2 2" xfId="1432" xr:uid="{00000000-0005-0000-0000-0000FD040000}"/>
    <cellStyle name="Comma 6 2 3 2 2 3" xfId="1433" xr:uid="{00000000-0005-0000-0000-0000FE040000}"/>
    <cellStyle name="Comma 6 2 3 2 2 3 2" xfId="1434" xr:uid="{00000000-0005-0000-0000-0000FF040000}"/>
    <cellStyle name="Comma 6 2 3 2 2 4" xfId="1435" xr:uid="{00000000-0005-0000-0000-000000050000}"/>
    <cellStyle name="Comma 6 2 3 2 3" xfId="1436" xr:uid="{00000000-0005-0000-0000-000001050000}"/>
    <cellStyle name="Comma 6 2 3 2 3 2" xfId="1437" xr:uid="{00000000-0005-0000-0000-000002050000}"/>
    <cellStyle name="Comma 6 2 3 2 4" xfId="1438" xr:uid="{00000000-0005-0000-0000-000003050000}"/>
    <cellStyle name="Comma 6 2 3 2 4 2" xfId="1439" xr:uid="{00000000-0005-0000-0000-000004050000}"/>
    <cellStyle name="Comma 6 2 3 2 5" xfId="1440" xr:uid="{00000000-0005-0000-0000-000005050000}"/>
    <cellStyle name="Comma 6 2 3 3" xfId="1441" xr:uid="{00000000-0005-0000-0000-000006050000}"/>
    <cellStyle name="Comma 6 2 3 3 2" xfId="1442" xr:uid="{00000000-0005-0000-0000-000007050000}"/>
    <cellStyle name="Comma 6 2 3 3 2 2" xfId="1443" xr:uid="{00000000-0005-0000-0000-000008050000}"/>
    <cellStyle name="Comma 6 2 3 3 3" xfId="1444" xr:uid="{00000000-0005-0000-0000-000009050000}"/>
    <cellStyle name="Comma 6 2 3 3 3 2" xfId="1445" xr:uid="{00000000-0005-0000-0000-00000A050000}"/>
    <cellStyle name="Comma 6 2 3 3 4" xfId="1446" xr:uid="{00000000-0005-0000-0000-00000B050000}"/>
    <cellStyle name="Comma 6 2 3 4" xfId="1447" xr:uid="{00000000-0005-0000-0000-00000C050000}"/>
    <cellStyle name="Comma 6 2 3 4 2" xfId="1448" xr:uid="{00000000-0005-0000-0000-00000D050000}"/>
    <cellStyle name="Comma 6 2 3 5" xfId="1449" xr:uid="{00000000-0005-0000-0000-00000E050000}"/>
    <cellStyle name="Comma 6 2 3 5 2" xfId="1450" xr:uid="{00000000-0005-0000-0000-00000F050000}"/>
    <cellStyle name="Comma 6 2 3 6" xfId="1451" xr:uid="{00000000-0005-0000-0000-000010050000}"/>
    <cellStyle name="Comma 6 2 4" xfId="1452" xr:uid="{00000000-0005-0000-0000-000011050000}"/>
    <cellStyle name="Comma 6 2 4 2" xfId="1453" xr:uid="{00000000-0005-0000-0000-000012050000}"/>
    <cellStyle name="Comma 6 2 4 2 2" xfId="1454" xr:uid="{00000000-0005-0000-0000-000013050000}"/>
    <cellStyle name="Comma 6 2 4 2 2 2" xfId="1455" xr:uid="{00000000-0005-0000-0000-000014050000}"/>
    <cellStyle name="Comma 6 2 4 2 3" xfId="1456" xr:uid="{00000000-0005-0000-0000-000015050000}"/>
    <cellStyle name="Comma 6 2 4 2 3 2" xfId="1457" xr:uid="{00000000-0005-0000-0000-000016050000}"/>
    <cellStyle name="Comma 6 2 4 2 4" xfId="1458" xr:uid="{00000000-0005-0000-0000-000017050000}"/>
    <cellStyle name="Comma 6 2 4 3" xfId="1459" xr:uid="{00000000-0005-0000-0000-000018050000}"/>
    <cellStyle name="Comma 6 2 4 3 2" xfId="1460" xr:uid="{00000000-0005-0000-0000-000019050000}"/>
    <cellStyle name="Comma 6 2 4 4" xfId="1461" xr:uid="{00000000-0005-0000-0000-00001A050000}"/>
    <cellStyle name="Comma 6 2 4 4 2" xfId="1462" xr:uid="{00000000-0005-0000-0000-00001B050000}"/>
    <cellStyle name="Comma 6 2 4 5" xfId="1463" xr:uid="{00000000-0005-0000-0000-00001C050000}"/>
    <cellStyle name="Comma 6 2 5" xfId="1464" xr:uid="{00000000-0005-0000-0000-00001D050000}"/>
    <cellStyle name="Comma 6 2 5 2" xfId="1465" xr:uid="{00000000-0005-0000-0000-00001E050000}"/>
    <cellStyle name="Comma 6 2 5 2 2" xfId="1466" xr:uid="{00000000-0005-0000-0000-00001F050000}"/>
    <cellStyle name="Comma 6 2 5 3" xfId="1467" xr:uid="{00000000-0005-0000-0000-000020050000}"/>
    <cellStyle name="Comma 6 2 5 3 2" xfId="1468" xr:uid="{00000000-0005-0000-0000-000021050000}"/>
    <cellStyle name="Comma 6 2 5 4" xfId="1469" xr:uid="{00000000-0005-0000-0000-000022050000}"/>
    <cellStyle name="Comma 6 2 6" xfId="1470" xr:uid="{00000000-0005-0000-0000-000023050000}"/>
    <cellStyle name="Comma 6 2 6 2" xfId="1471" xr:uid="{00000000-0005-0000-0000-000024050000}"/>
    <cellStyle name="Comma 6 2 7" xfId="1472" xr:uid="{00000000-0005-0000-0000-000025050000}"/>
    <cellStyle name="Comma 6 2 7 2" xfId="1473" xr:uid="{00000000-0005-0000-0000-000026050000}"/>
    <cellStyle name="Comma 6 2 8" xfId="1474" xr:uid="{00000000-0005-0000-0000-000027050000}"/>
    <cellStyle name="Comma 6 2 9" xfId="1379" xr:uid="{00000000-0005-0000-0000-000028050000}"/>
    <cellStyle name="Comma 6 3" xfId="1475" xr:uid="{00000000-0005-0000-0000-000029050000}"/>
    <cellStyle name="Comma 6 3 2" xfId="1476" xr:uid="{00000000-0005-0000-0000-00002A050000}"/>
    <cellStyle name="Comma 6 3 2 2" xfId="1477" xr:uid="{00000000-0005-0000-0000-00002B050000}"/>
    <cellStyle name="Comma 6 3 2 2 2" xfId="1478" xr:uid="{00000000-0005-0000-0000-00002C050000}"/>
    <cellStyle name="Comma 6 3 2 2 2 2" xfId="1479" xr:uid="{00000000-0005-0000-0000-00002D050000}"/>
    <cellStyle name="Comma 6 3 2 2 2 2 2" xfId="1480" xr:uid="{00000000-0005-0000-0000-00002E050000}"/>
    <cellStyle name="Comma 6 3 2 2 2 3" xfId="1481" xr:uid="{00000000-0005-0000-0000-00002F050000}"/>
    <cellStyle name="Comma 6 3 2 2 2 3 2" xfId="1482" xr:uid="{00000000-0005-0000-0000-000030050000}"/>
    <cellStyle name="Comma 6 3 2 2 2 4" xfId="1483" xr:uid="{00000000-0005-0000-0000-000031050000}"/>
    <cellStyle name="Comma 6 3 2 2 3" xfId="1484" xr:uid="{00000000-0005-0000-0000-000032050000}"/>
    <cellStyle name="Comma 6 3 2 2 3 2" xfId="1485" xr:uid="{00000000-0005-0000-0000-000033050000}"/>
    <cellStyle name="Comma 6 3 2 2 4" xfId="1486" xr:uid="{00000000-0005-0000-0000-000034050000}"/>
    <cellStyle name="Comma 6 3 2 2 4 2" xfId="1487" xr:uid="{00000000-0005-0000-0000-000035050000}"/>
    <cellStyle name="Comma 6 3 2 2 5" xfId="1488" xr:uid="{00000000-0005-0000-0000-000036050000}"/>
    <cellStyle name="Comma 6 3 2 3" xfId="1489" xr:uid="{00000000-0005-0000-0000-000037050000}"/>
    <cellStyle name="Comma 6 3 2 3 2" xfId="1490" xr:uid="{00000000-0005-0000-0000-000038050000}"/>
    <cellStyle name="Comma 6 3 2 3 2 2" xfId="1491" xr:uid="{00000000-0005-0000-0000-000039050000}"/>
    <cellStyle name="Comma 6 3 2 3 3" xfId="1492" xr:uid="{00000000-0005-0000-0000-00003A050000}"/>
    <cellStyle name="Comma 6 3 2 3 3 2" xfId="1493" xr:uid="{00000000-0005-0000-0000-00003B050000}"/>
    <cellStyle name="Comma 6 3 2 3 4" xfId="1494" xr:uid="{00000000-0005-0000-0000-00003C050000}"/>
    <cellStyle name="Comma 6 3 2 4" xfId="1495" xr:uid="{00000000-0005-0000-0000-00003D050000}"/>
    <cellStyle name="Comma 6 3 2 4 2" xfId="1496" xr:uid="{00000000-0005-0000-0000-00003E050000}"/>
    <cellStyle name="Comma 6 3 2 5" xfId="1497" xr:uid="{00000000-0005-0000-0000-00003F050000}"/>
    <cellStyle name="Comma 6 3 2 5 2" xfId="1498" xr:uid="{00000000-0005-0000-0000-000040050000}"/>
    <cellStyle name="Comma 6 3 2 6" xfId="1499" xr:uid="{00000000-0005-0000-0000-000041050000}"/>
    <cellStyle name="Comma 6 3 3" xfId="1500" xr:uid="{00000000-0005-0000-0000-000042050000}"/>
    <cellStyle name="Comma 6 3 3 2" xfId="1501" xr:uid="{00000000-0005-0000-0000-000043050000}"/>
    <cellStyle name="Comma 6 3 3 2 2" xfId="1502" xr:uid="{00000000-0005-0000-0000-000044050000}"/>
    <cellStyle name="Comma 6 3 3 2 2 2" xfId="1503" xr:uid="{00000000-0005-0000-0000-000045050000}"/>
    <cellStyle name="Comma 6 3 3 2 3" xfId="1504" xr:uid="{00000000-0005-0000-0000-000046050000}"/>
    <cellStyle name="Comma 6 3 3 2 3 2" xfId="1505" xr:uid="{00000000-0005-0000-0000-000047050000}"/>
    <cellStyle name="Comma 6 3 3 2 4" xfId="1506" xr:uid="{00000000-0005-0000-0000-000048050000}"/>
    <cellStyle name="Comma 6 3 3 3" xfId="1507" xr:uid="{00000000-0005-0000-0000-000049050000}"/>
    <cellStyle name="Comma 6 3 3 3 2" xfId="1508" xr:uid="{00000000-0005-0000-0000-00004A050000}"/>
    <cellStyle name="Comma 6 3 3 4" xfId="1509" xr:uid="{00000000-0005-0000-0000-00004B050000}"/>
    <cellStyle name="Comma 6 3 3 4 2" xfId="1510" xr:uid="{00000000-0005-0000-0000-00004C050000}"/>
    <cellStyle name="Comma 6 3 3 5" xfId="1511" xr:uid="{00000000-0005-0000-0000-00004D050000}"/>
    <cellStyle name="Comma 6 3 4" xfId="1512" xr:uid="{00000000-0005-0000-0000-00004E050000}"/>
    <cellStyle name="Comma 6 3 4 2" xfId="1513" xr:uid="{00000000-0005-0000-0000-00004F050000}"/>
    <cellStyle name="Comma 6 3 4 2 2" xfId="1514" xr:uid="{00000000-0005-0000-0000-000050050000}"/>
    <cellStyle name="Comma 6 3 4 3" xfId="1515" xr:uid="{00000000-0005-0000-0000-000051050000}"/>
    <cellStyle name="Comma 6 3 4 3 2" xfId="1516" xr:uid="{00000000-0005-0000-0000-000052050000}"/>
    <cellStyle name="Comma 6 3 4 4" xfId="1517" xr:uid="{00000000-0005-0000-0000-000053050000}"/>
    <cellStyle name="Comma 6 3 5" xfId="1518" xr:uid="{00000000-0005-0000-0000-000054050000}"/>
    <cellStyle name="Comma 6 3 5 2" xfId="1519" xr:uid="{00000000-0005-0000-0000-000055050000}"/>
    <cellStyle name="Comma 6 3 6" xfId="1520" xr:uid="{00000000-0005-0000-0000-000056050000}"/>
    <cellStyle name="Comma 6 3 6 2" xfId="1521" xr:uid="{00000000-0005-0000-0000-000057050000}"/>
    <cellStyle name="Comma 6 3 7" xfId="1522" xr:uid="{00000000-0005-0000-0000-000058050000}"/>
    <cellStyle name="Comma 6 4" xfId="1523" xr:uid="{00000000-0005-0000-0000-000059050000}"/>
    <cellStyle name="Comma 6 4 2" xfId="1524" xr:uid="{00000000-0005-0000-0000-00005A050000}"/>
    <cellStyle name="Comma 6 4 2 2" xfId="1525" xr:uid="{00000000-0005-0000-0000-00005B050000}"/>
    <cellStyle name="Comma 6 4 2 2 2" xfId="1526" xr:uid="{00000000-0005-0000-0000-00005C050000}"/>
    <cellStyle name="Comma 6 4 2 2 2 2" xfId="1527" xr:uid="{00000000-0005-0000-0000-00005D050000}"/>
    <cellStyle name="Comma 6 4 2 2 2 2 2" xfId="1528" xr:uid="{00000000-0005-0000-0000-00005E050000}"/>
    <cellStyle name="Comma 6 4 2 2 2 3" xfId="1529" xr:uid="{00000000-0005-0000-0000-00005F050000}"/>
    <cellStyle name="Comma 6 4 2 2 2 3 2" xfId="1530" xr:uid="{00000000-0005-0000-0000-000060050000}"/>
    <cellStyle name="Comma 6 4 2 2 2 4" xfId="1531" xr:uid="{00000000-0005-0000-0000-000061050000}"/>
    <cellStyle name="Comma 6 4 2 2 3" xfId="1532" xr:uid="{00000000-0005-0000-0000-000062050000}"/>
    <cellStyle name="Comma 6 4 2 2 3 2" xfId="1533" xr:uid="{00000000-0005-0000-0000-000063050000}"/>
    <cellStyle name="Comma 6 4 2 2 4" xfId="1534" xr:uid="{00000000-0005-0000-0000-000064050000}"/>
    <cellStyle name="Comma 6 4 2 2 4 2" xfId="1535" xr:uid="{00000000-0005-0000-0000-000065050000}"/>
    <cellStyle name="Comma 6 4 2 2 5" xfId="1536" xr:uid="{00000000-0005-0000-0000-000066050000}"/>
    <cellStyle name="Comma 6 4 2 3" xfId="1537" xr:uid="{00000000-0005-0000-0000-000067050000}"/>
    <cellStyle name="Comma 6 4 2 3 2" xfId="1538" xr:uid="{00000000-0005-0000-0000-000068050000}"/>
    <cellStyle name="Comma 6 4 2 3 2 2" xfId="1539" xr:uid="{00000000-0005-0000-0000-000069050000}"/>
    <cellStyle name="Comma 6 4 2 3 3" xfId="1540" xr:uid="{00000000-0005-0000-0000-00006A050000}"/>
    <cellStyle name="Comma 6 4 2 3 3 2" xfId="1541" xr:uid="{00000000-0005-0000-0000-00006B050000}"/>
    <cellStyle name="Comma 6 4 2 3 4" xfId="1542" xr:uid="{00000000-0005-0000-0000-00006C050000}"/>
    <cellStyle name="Comma 6 4 2 4" xfId="1543" xr:uid="{00000000-0005-0000-0000-00006D050000}"/>
    <cellStyle name="Comma 6 4 2 4 2" xfId="1544" xr:uid="{00000000-0005-0000-0000-00006E050000}"/>
    <cellStyle name="Comma 6 4 2 5" xfId="1545" xr:uid="{00000000-0005-0000-0000-00006F050000}"/>
    <cellStyle name="Comma 6 4 2 5 2" xfId="1546" xr:uid="{00000000-0005-0000-0000-000070050000}"/>
    <cellStyle name="Comma 6 4 2 6" xfId="1547" xr:uid="{00000000-0005-0000-0000-000071050000}"/>
    <cellStyle name="Comma 6 4 3" xfId="1548" xr:uid="{00000000-0005-0000-0000-000072050000}"/>
    <cellStyle name="Comma 6 4 3 2" xfId="1549" xr:uid="{00000000-0005-0000-0000-000073050000}"/>
    <cellStyle name="Comma 6 4 3 2 2" xfId="1550" xr:uid="{00000000-0005-0000-0000-000074050000}"/>
    <cellStyle name="Comma 6 4 3 2 2 2" xfId="1551" xr:uid="{00000000-0005-0000-0000-000075050000}"/>
    <cellStyle name="Comma 6 4 3 2 3" xfId="1552" xr:uid="{00000000-0005-0000-0000-000076050000}"/>
    <cellStyle name="Comma 6 4 3 2 3 2" xfId="1553" xr:uid="{00000000-0005-0000-0000-000077050000}"/>
    <cellStyle name="Comma 6 4 3 2 4" xfId="1554" xr:uid="{00000000-0005-0000-0000-000078050000}"/>
    <cellStyle name="Comma 6 4 3 3" xfId="1555" xr:uid="{00000000-0005-0000-0000-000079050000}"/>
    <cellStyle name="Comma 6 4 3 3 2" xfId="1556" xr:uid="{00000000-0005-0000-0000-00007A050000}"/>
    <cellStyle name="Comma 6 4 3 4" xfId="1557" xr:uid="{00000000-0005-0000-0000-00007B050000}"/>
    <cellStyle name="Comma 6 4 3 4 2" xfId="1558" xr:uid="{00000000-0005-0000-0000-00007C050000}"/>
    <cellStyle name="Comma 6 4 3 5" xfId="1559" xr:uid="{00000000-0005-0000-0000-00007D050000}"/>
    <cellStyle name="Comma 6 4 4" xfId="1560" xr:uid="{00000000-0005-0000-0000-00007E050000}"/>
    <cellStyle name="Comma 6 4 4 2" xfId="1561" xr:uid="{00000000-0005-0000-0000-00007F050000}"/>
    <cellStyle name="Comma 6 4 4 2 2" xfId="1562" xr:uid="{00000000-0005-0000-0000-000080050000}"/>
    <cellStyle name="Comma 6 4 4 3" xfId="1563" xr:uid="{00000000-0005-0000-0000-000081050000}"/>
    <cellStyle name="Comma 6 4 4 3 2" xfId="1564" xr:uid="{00000000-0005-0000-0000-000082050000}"/>
    <cellStyle name="Comma 6 4 4 4" xfId="1565" xr:uid="{00000000-0005-0000-0000-000083050000}"/>
    <cellStyle name="Comma 6 4 5" xfId="1566" xr:uid="{00000000-0005-0000-0000-000084050000}"/>
    <cellStyle name="Comma 6 4 5 2" xfId="1567" xr:uid="{00000000-0005-0000-0000-000085050000}"/>
    <cellStyle name="Comma 6 4 6" xfId="1568" xr:uid="{00000000-0005-0000-0000-000086050000}"/>
    <cellStyle name="Comma 6 4 6 2" xfId="1569" xr:uid="{00000000-0005-0000-0000-000087050000}"/>
    <cellStyle name="Comma 6 4 7" xfId="1570" xr:uid="{00000000-0005-0000-0000-000088050000}"/>
    <cellStyle name="Comma 6 5" xfId="1571" xr:uid="{00000000-0005-0000-0000-000089050000}"/>
    <cellStyle name="Comma 6 5 2" xfId="1572" xr:uid="{00000000-0005-0000-0000-00008A050000}"/>
    <cellStyle name="Comma 6 5 2 2" xfId="1573" xr:uid="{00000000-0005-0000-0000-00008B050000}"/>
    <cellStyle name="Comma 6 5 2 2 2" xfId="1574" xr:uid="{00000000-0005-0000-0000-00008C050000}"/>
    <cellStyle name="Comma 6 5 2 2 2 2" xfId="1575" xr:uid="{00000000-0005-0000-0000-00008D050000}"/>
    <cellStyle name="Comma 6 5 2 2 3" xfId="1576" xr:uid="{00000000-0005-0000-0000-00008E050000}"/>
    <cellStyle name="Comma 6 5 2 2 3 2" xfId="1577" xr:uid="{00000000-0005-0000-0000-00008F050000}"/>
    <cellStyle name="Comma 6 5 2 2 4" xfId="1578" xr:uid="{00000000-0005-0000-0000-000090050000}"/>
    <cellStyle name="Comma 6 5 2 3" xfId="1579" xr:uid="{00000000-0005-0000-0000-000091050000}"/>
    <cellStyle name="Comma 6 5 2 3 2" xfId="1580" xr:uid="{00000000-0005-0000-0000-000092050000}"/>
    <cellStyle name="Comma 6 5 2 4" xfId="1581" xr:uid="{00000000-0005-0000-0000-000093050000}"/>
    <cellStyle name="Comma 6 5 2 4 2" xfId="1582" xr:uid="{00000000-0005-0000-0000-000094050000}"/>
    <cellStyle name="Comma 6 5 2 5" xfId="1583" xr:uid="{00000000-0005-0000-0000-000095050000}"/>
    <cellStyle name="Comma 6 5 3" xfId="1584" xr:uid="{00000000-0005-0000-0000-000096050000}"/>
    <cellStyle name="Comma 6 5 3 2" xfId="1585" xr:uid="{00000000-0005-0000-0000-000097050000}"/>
    <cellStyle name="Comma 6 5 3 2 2" xfId="1586" xr:uid="{00000000-0005-0000-0000-000098050000}"/>
    <cellStyle name="Comma 6 5 3 3" xfId="1587" xr:uid="{00000000-0005-0000-0000-000099050000}"/>
    <cellStyle name="Comma 6 5 3 3 2" xfId="1588" xr:uid="{00000000-0005-0000-0000-00009A050000}"/>
    <cellStyle name="Comma 6 5 3 4" xfId="1589" xr:uid="{00000000-0005-0000-0000-00009B050000}"/>
    <cellStyle name="Comma 6 5 4" xfId="1590" xr:uid="{00000000-0005-0000-0000-00009C050000}"/>
    <cellStyle name="Comma 6 5 4 2" xfId="1591" xr:uid="{00000000-0005-0000-0000-00009D050000}"/>
    <cellStyle name="Comma 6 5 5" xfId="1592" xr:uid="{00000000-0005-0000-0000-00009E050000}"/>
    <cellStyle name="Comma 6 5 5 2" xfId="1593" xr:uid="{00000000-0005-0000-0000-00009F050000}"/>
    <cellStyle name="Comma 6 5 6" xfId="1594" xr:uid="{00000000-0005-0000-0000-0000A0050000}"/>
    <cellStyle name="Comma 6 6" xfId="1595" xr:uid="{00000000-0005-0000-0000-0000A1050000}"/>
    <cellStyle name="Comma 6 6 2" xfId="1596" xr:uid="{00000000-0005-0000-0000-0000A2050000}"/>
    <cellStyle name="Comma 6 6 2 2" xfId="1597" xr:uid="{00000000-0005-0000-0000-0000A3050000}"/>
    <cellStyle name="Comma 6 6 2 2 2" xfId="1598" xr:uid="{00000000-0005-0000-0000-0000A4050000}"/>
    <cellStyle name="Comma 6 6 2 3" xfId="1599" xr:uid="{00000000-0005-0000-0000-0000A5050000}"/>
    <cellStyle name="Comma 6 6 2 3 2" xfId="1600" xr:uid="{00000000-0005-0000-0000-0000A6050000}"/>
    <cellStyle name="Comma 6 6 2 4" xfId="1601" xr:uid="{00000000-0005-0000-0000-0000A7050000}"/>
    <cellStyle name="Comma 6 6 3" xfId="1602" xr:uid="{00000000-0005-0000-0000-0000A8050000}"/>
    <cellStyle name="Comma 6 6 3 2" xfId="1603" xr:uid="{00000000-0005-0000-0000-0000A9050000}"/>
    <cellStyle name="Comma 6 6 4" xfId="1604" xr:uid="{00000000-0005-0000-0000-0000AA050000}"/>
    <cellStyle name="Comma 6 6 4 2" xfId="1605" xr:uid="{00000000-0005-0000-0000-0000AB050000}"/>
    <cellStyle name="Comma 6 6 5" xfId="1606" xr:uid="{00000000-0005-0000-0000-0000AC050000}"/>
    <cellStyle name="Comma 6 7" xfId="1607" xr:uid="{00000000-0005-0000-0000-0000AD050000}"/>
    <cellStyle name="Comma 6 7 2" xfId="1608" xr:uid="{00000000-0005-0000-0000-0000AE050000}"/>
    <cellStyle name="Comma 6 7 2 2" xfId="1609" xr:uid="{00000000-0005-0000-0000-0000AF050000}"/>
    <cellStyle name="Comma 6 7 3" xfId="1610" xr:uid="{00000000-0005-0000-0000-0000B0050000}"/>
    <cellStyle name="Comma 6 7 3 2" xfId="1611" xr:uid="{00000000-0005-0000-0000-0000B1050000}"/>
    <cellStyle name="Comma 6 7 4" xfId="1612" xr:uid="{00000000-0005-0000-0000-0000B2050000}"/>
    <cellStyle name="Comma 6 8" xfId="1613" xr:uid="{00000000-0005-0000-0000-0000B3050000}"/>
    <cellStyle name="Comma 6 8 2" xfId="1614" xr:uid="{00000000-0005-0000-0000-0000B4050000}"/>
    <cellStyle name="Comma 6 9" xfId="1615" xr:uid="{00000000-0005-0000-0000-0000B5050000}"/>
    <cellStyle name="Comma 6 9 2" xfId="1616" xr:uid="{00000000-0005-0000-0000-0000B6050000}"/>
    <cellStyle name="Comma 7" xfId="44" xr:uid="{00000000-0005-0000-0000-0000B7050000}"/>
    <cellStyle name="Comma 7 10" xfId="1617" xr:uid="{00000000-0005-0000-0000-0000B8050000}"/>
    <cellStyle name="Comma 7 2" xfId="188" xr:uid="{00000000-0005-0000-0000-0000B9050000}"/>
    <cellStyle name="Comma 7 2 2" xfId="1619" xr:uid="{00000000-0005-0000-0000-0000BA050000}"/>
    <cellStyle name="Comma 7 2 2 2" xfId="1620" xr:uid="{00000000-0005-0000-0000-0000BB050000}"/>
    <cellStyle name="Comma 7 2 2 2 2" xfId="1621" xr:uid="{00000000-0005-0000-0000-0000BC050000}"/>
    <cellStyle name="Comma 7 2 2 2 2 2" xfId="1622" xr:uid="{00000000-0005-0000-0000-0000BD050000}"/>
    <cellStyle name="Comma 7 2 2 2 2 2 2" xfId="1623" xr:uid="{00000000-0005-0000-0000-0000BE050000}"/>
    <cellStyle name="Comma 7 2 2 2 2 2 2 2" xfId="1624" xr:uid="{00000000-0005-0000-0000-0000BF050000}"/>
    <cellStyle name="Comma 7 2 2 2 2 2 3" xfId="1625" xr:uid="{00000000-0005-0000-0000-0000C0050000}"/>
    <cellStyle name="Comma 7 2 2 2 2 2 3 2" xfId="1626" xr:uid="{00000000-0005-0000-0000-0000C1050000}"/>
    <cellStyle name="Comma 7 2 2 2 2 2 4" xfId="1627" xr:uid="{00000000-0005-0000-0000-0000C2050000}"/>
    <cellStyle name="Comma 7 2 2 2 2 3" xfId="1628" xr:uid="{00000000-0005-0000-0000-0000C3050000}"/>
    <cellStyle name="Comma 7 2 2 2 2 3 2" xfId="1629" xr:uid="{00000000-0005-0000-0000-0000C4050000}"/>
    <cellStyle name="Comma 7 2 2 2 2 4" xfId="1630" xr:uid="{00000000-0005-0000-0000-0000C5050000}"/>
    <cellStyle name="Comma 7 2 2 2 2 4 2" xfId="1631" xr:uid="{00000000-0005-0000-0000-0000C6050000}"/>
    <cellStyle name="Comma 7 2 2 2 2 5" xfId="1632" xr:uid="{00000000-0005-0000-0000-0000C7050000}"/>
    <cellStyle name="Comma 7 2 2 2 3" xfId="1633" xr:uid="{00000000-0005-0000-0000-0000C8050000}"/>
    <cellStyle name="Comma 7 2 2 2 3 2" xfId="1634" xr:uid="{00000000-0005-0000-0000-0000C9050000}"/>
    <cellStyle name="Comma 7 2 2 2 3 2 2" xfId="1635" xr:uid="{00000000-0005-0000-0000-0000CA050000}"/>
    <cellStyle name="Comma 7 2 2 2 3 3" xfId="1636" xr:uid="{00000000-0005-0000-0000-0000CB050000}"/>
    <cellStyle name="Comma 7 2 2 2 3 3 2" xfId="1637" xr:uid="{00000000-0005-0000-0000-0000CC050000}"/>
    <cellStyle name="Comma 7 2 2 2 3 4" xfId="1638" xr:uid="{00000000-0005-0000-0000-0000CD050000}"/>
    <cellStyle name="Comma 7 2 2 2 4" xfId="1639" xr:uid="{00000000-0005-0000-0000-0000CE050000}"/>
    <cellStyle name="Comma 7 2 2 2 4 2" xfId="1640" xr:uid="{00000000-0005-0000-0000-0000CF050000}"/>
    <cellStyle name="Comma 7 2 2 2 5" xfId="1641" xr:uid="{00000000-0005-0000-0000-0000D0050000}"/>
    <cellStyle name="Comma 7 2 2 2 5 2" xfId="1642" xr:uid="{00000000-0005-0000-0000-0000D1050000}"/>
    <cellStyle name="Comma 7 2 2 2 6" xfId="1643" xr:uid="{00000000-0005-0000-0000-0000D2050000}"/>
    <cellStyle name="Comma 7 2 2 3" xfId="1644" xr:uid="{00000000-0005-0000-0000-0000D3050000}"/>
    <cellStyle name="Comma 7 2 2 3 2" xfId="1645" xr:uid="{00000000-0005-0000-0000-0000D4050000}"/>
    <cellStyle name="Comma 7 2 2 3 2 2" xfId="1646" xr:uid="{00000000-0005-0000-0000-0000D5050000}"/>
    <cellStyle name="Comma 7 2 2 3 2 2 2" xfId="1647" xr:uid="{00000000-0005-0000-0000-0000D6050000}"/>
    <cellStyle name="Comma 7 2 2 3 2 3" xfId="1648" xr:uid="{00000000-0005-0000-0000-0000D7050000}"/>
    <cellStyle name="Comma 7 2 2 3 2 3 2" xfId="1649" xr:uid="{00000000-0005-0000-0000-0000D8050000}"/>
    <cellStyle name="Comma 7 2 2 3 2 4" xfId="1650" xr:uid="{00000000-0005-0000-0000-0000D9050000}"/>
    <cellStyle name="Comma 7 2 2 3 3" xfId="1651" xr:uid="{00000000-0005-0000-0000-0000DA050000}"/>
    <cellStyle name="Comma 7 2 2 3 3 2" xfId="1652" xr:uid="{00000000-0005-0000-0000-0000DB050000}"/>
    <cellStyle name="Comma 7 2 2 3 4" xfId="1653" xr:uid="{00000000-0005-0000-0000-0000DC050000}"/>
    <cellStyle name="Comma 7 2 2 3 4 2" xfId="1654" xr:uid="{00000000-0005-0000-0000-0000DD050000}"/>
    <cellStyle name="Comma 7 2 2 3 5" xfId="1655" xr:uid="{00000000-0005-0000-0000-0000DE050000}"/>
    <cellStyle name="Comma 7 2 2 4" xfId="1656" xr:uid="{00000000-0005-0000-0000-0000DF050000}"/>
    <cellStyle name="Comma 7 2 2 4 2" xfId="1657" xr:uid="{00000000-0005-0000-0000-0000E0050000}"/>
    <cellStyle name="Comma 7 2 2 4 2 2" xfId="1658" xr:uid="{00000000-0005-0000-0000-0000E1050000}"/>
    <cellStyle name="Comma 7 2 2 4 3" xfId="1659" xr:uid="{00000000-0005-0000-0000-0000E2050000}"/>
    <cellStyle name="Comma 7 2 2 4 3 2" xfId="1660" xr:uid="{00000000-0005-0000-0000-0000E3050000}"/>
    <cellStyle name="Comma 7 2 2 4 4" xfId="1661" xr:uid="{00000000-0005-0000-0000-0000E4050000}"/>
    <cellStyle name="Comma 7 2 2 5" xfId="1662" xr:uid="{00000000-0005-0000-0000-0000E5050000}"/>
    <cellStyle name="Comma 7 2 2 5 2" xfId="1663" xr:uid="{00000000-0005-0000-0000-0000E6050000}"/>
    <cellStyle name="Comma 7 2 2 6" xfId="1664" xr:uid="{00000000-0005-0000-0000-0000E7050000}"/>
    <cellStyle name="Comma 7 2 2 6 2" xfId="1665" xr:uid="{00000000-0005-0000-0000-0000E8050000}"/>
    <cellStyle name="Comma 7 2 2 7" xfId="1666" xr:uid="{00000000-0005-0000-0000-0000E9050000}"/>
    <cellStyle name="Comma 7 2 3" xfId="1667" xr:uid="{00000000-0005-0000-0000-0000EA050000}"/>
    <cellStyle name="Comma 7 2 3 2" xfId="1668" xr:uid="{00000000-0005-0000-0000-0000EB050000}"/>
    <cellStyle name="Comma 7 2 3 2 2" xfId="1669" xr:uid="{00000000-0005-0000-0000-0000EC050000}"/>
    <cellStyle name="Comma 7 2 3 2 2 2" xfId="1670" xr:uid="{00000000-0005-0000-0000-0000ED050000}"/>
    <cellStyle name="Comma 7 2 3 2 2 2 2" xfId="1671" xr:uid="{00000000-0005-0000-0000-0000EE050000}"/>
    <cellStyle name="Comma 7 2 3 2 2 3" xfId="1672" xr:uid="{00000000-0005-0000-0000-0000EF050000}"/>
    <cellStyle name="Comma 7 2 3 2 2 3 2" xfId="1673" xr:uid="{00000000-0005-0000-0000-0000F0050000}"/>
    <cellStyle name="Comma 7 2 3 2 2 4" xfId="1674" xr:uid="{00000000-0005-0000-0000-0000F1050000}"/>
    <cellStyle name="Comma 7 2 3 2 3" xfId="1675" xr:uid="{00000000-0005-0000-0000-0000F2050000}"/>
    <cellStyle name="Comma 7 2 3 2 3 2" xfId="1676" xr:uid="{00000000-0005-0000-0000-0000F3050000}"/>
    <cellStyle name="Comma 7 2 3 2 4" xfId="1677" xr:uid="{00000000-0005-0000-0000-0000F4050000}"/>
    <cellStyle name="Comma 7 2 3 2 4 2" xfId="1678" xr:uid="{00000000-0005-0000-0000-0000F5050000}"/>
    <cellStyle name="Comma 7 2 3 2 5" xfId="1679" xr:uid="{00000000-0005-0000-0000-0000F6050000}"/>
    <cellStyle name="Comma 7 2 3 3" xfId="1680" xr:uid="{00000000-0005-0000-0000-0000F7050000}"/>
    <cellStyle name="Comma 7 2 3 3 2" xfId="1681" xr:uid="{00000000-0005-0000-0000-0000F8050000}"/>
    <cellStyle name="Comma 7 2 3 3 2 2" xfId="1682" xr:uid="{00000000-0005-0000-0000-0000F9050000}"/>
    <cellStyle name="Comma 7 2 3 3 3" xfId="1683" xr:uid="{00000000-0005-0000-0000-0000FA050000}"/>
    <cellStyle name="Comma 7 2 3 3 3 2" xfId="1684" xr:uid="{00000000-0005-0000-0000-0000FB050000}"/>
    <cellStyle name="Comma 7 2 3 3 4" xfId="1685" xr:uid="{00000000-0005-0000-0000-0000FC050000}"/>
    <cellStyle name="Comma 7 2 3 4" xfId="1686" xr:uid="{00000000-0005-0000-0000-0000FD050000}"/>
    <cellStyle name="Comma 7 2 3 4 2" xfId="1687" xr:uid="{00000000-0005-0000-0000-0000FE050000}"/>
    <cellStyle name="Comma 7 2 3 5" xfId="1688" xr:uid="{00000000-0005-0000-0000-0000FF050000}"/>
    <cellStyle name="Comma 7 2 3 5 2" xfId="1689" xr:uid="{00000000-0005-0000-0000-000000060000}"/>
    <cellStyle name="Comma 7 2 3 6" xfId="1690" xr:uid="{00000000-0005-0000-0000-000001060000}"/>
    <cellStyle name="Comma 7 2 4" xfId="1691" xr:uid="{00000000-0005-0000-0000-000002060000}"/>
    <cellStyle name="Comma 7 2 4 2" xfId="1692" xr:uid="{00000000-0005-0000-0000-000003060000}"/>
    <cellStyle name="Comma 7 2 4 2 2" xfId="1693" xr:uid="{00000000-0005-0000-0000-000004060000}"/>
    <cellStyle name="Comma 7 2 4 2 2 2" xfId="1694" xr:uid="{00000000-0005-0000-0000-000005060000}"/>
    <cellStyle name="Comma 7 2 4 2 3" xfId="1695" xr:uid="{00000000-0005-0000-0000-000006060000}"/>
    <cellStyle name="Comma 7 2 4 2 3 2" xfId="1696" xr:uid="{00000000-0005-0000-0000-000007060000}"/>
    <cellStyle name="Comma 7 2 4 2 4" xfId="1697" xr:uid="{00000000-0005-0000-0000-000008060000}"/>
    <cellStyle name="Comma 7 2 4 3" xfId="1698" xr:uid="{00000000-0005-0000-0000-000009060000}"/>
    <cellStyle name="Comma 7 2 4 3 2" xfId="1699" xr:uid="{00000000-0005-0000-0000-00000A060000}"/>
    <cellStyle name="Comma 7 2 4 4" xfId="1700" xr:uid="{00000000-0005-0000-0000-00000B060000}"/>
    <cellStyle name="Comma 7 2 4 4 2" xfId="1701" xr:uid="{00000000-0005-0000-0000-00000C060000}"/>
    <cellStyle name="Comma 7 2 4 5" xfId="1702" xr:uid="{00000000-0005-0000-0000-00000D060000}"/>
    <cellStyle name="Comma 7 2 5" xfId="1703" xr:uid="{00000000-0005-0000-0000-00000E060000}"/>
    <cellStyle name="Comma 7 2 5 2" xfId="1704" xr:uid="{00000000-0005-0000-0000-00000F060000}"/>
    <cellStyle name="Comma 7 2 5 2 2" xfId="1705" xr:uid="{00000000-0005-0000-0000-000010060000}"/>
    <cellStyle name="Comma 7 2 5 3" xfId="1706" xr:uid="{00000000-0005-0000-0000-000011060000}"/>
    <cellStyle name="Comma 7 2 5 3 2" xfId="1707" xr:uid="{00000000-0005-0000-0000-000012060000}"/>
    <cellStyle name="Comma 7 2 5 4" xfId="1708" xr:uid="{00000000-0005-0000-0000-000013060000}"/>
    <cellStyle name="Comma 7 2 6" xfId="1709" xr:uid="{00000000-0005-0000-0000-000014060000}"/>
    <cellStyle name="Comma 7 2 6 2" xfId="1710" xr:uid="{00000000-0005-0000-0000-000015060000}"/>
    <cellStyle name="Comma 7 2 7" xfId="1711" xr:uid="{00000000-0005-0000-0000-000016060000}"/>
    <cellStyle name="Comma 7 2 7 2" xfId="1712" xr:uid="{00000000-0005-0000-0000-000017060000}"/>
    <cellStyle name="Comma 7 2 8" xfId="1713" xr:uid="{00000000-0005-0000-0000-000018060000}"/>
    <cellStyle name="Comma 7 2 9" xfId="1618" xr:uid="{00000000-0005-0000-0000-000019060000}"/>
    <cellStyle name="Comma 7 3" xfId="1714" xr:uid="{00000000-0005-0000-0000-00001A060000}"/>
    <cellStyle name="Comma 7 3 2" xfId="1715" xr:uid="{00000000-0005-0000-0000-00001B060000}"/>
    <cellStyle name="Comma 7 3 2 2" xfId="1716" xr:uid="{00000000-0005-0000-0000-00001C060000}"/>
    <cellStyle name="Comma 7 3 2 2 2" xfId="1717" xr:uid="{00000000-0005-0000-0000-00001D060000}"/>
    <cellStyle name="Comma 7 3 2 2 2 2" xfId="1718" xr:uid="{00000000-0005-0000-0000-00001E060000}"/>
    <cellStyle name="Comma 7 3 2 2 2 2 2" xfId="1719" xr:uid="{00000000-0005-0000-0000-00001F060000}"/>
    <cellStyle name="Comma 7 3 2 2 2 3" xfId="1720" xr:uid="{00000000-0005-0000-0000-000020060000}"/>
    <cellStyle name="Comma 7 3 2 2 2 3 2" xfId="1721" xr:uid="{00000000-0005-0000-0000-000021060000}"/>
    <cellStyle name="Comma 7 3 2 2 2 4" xfId="1722" xr:uid="{00000000-0005-0000-0000-000022060000}"/>
    <cellStyle name="Comma 7 3 2 2 3" xfId="1723" xr:uid="{00000000-0005-0000-0000-000023060000}"/>
    <cellStyle name="Comma 7 3 2 2 3 2" xfId="1724" xr:uid="{00000000-0005-0000-0000-000024060000}"/>
    <cellStyle name="Comma 7 3 2 2 4" xfId="1725" xr:uid="{00000000-0005-0000-0000-000025060000}"/>
    <cellStyle name="Comma 7 3 2 2 4 2" xfId="1726" xr:uid="{00000000-0005-0000-0000-000026060000}"/>
    <cellStyle name="Comma 7 3 2 2 5" xfId="1727" xr:uid="{00000000-0005-0000-0000-000027060000}"/>
    <cellStyle name="Comma 7 3 2 3" xfId="1728" xr:uid="{00000000-0005-0000-0000-000028060000}"/>
    <cellStyle name="Comma 7 3 2 3 2" xfId="1729" xr:uid="{00000000-0005-0000-0000-000029060000}"/>
    <cellStyle name="Comma 7 3 2 3 2 2" xfId="1730" xr:uid="{00000000-0005-0000-0000-00002A060000}"/>
    <cellStyle name="Comma 7 3 2 3 3" xfId="1731" xr:uid="{00000000-0005-0000-0000-00002B060000}"/>
    <cellStyle name="Comma 7 3 2 3 3 2" xfId="1732" xr:uid="{00000000-0005-0000-0000-00002C060000}"/>
    <cellStyle name="Comma 7 3 2 3 4" xfId="1733" xr:uid="{00000000-0005-0000-0000-00002D060000}"/>
    <cellStyle name="Comma 7 3 2 4" xfId="1734" xr:uid="{00000000-0005-0000-0000-00002E060000}"/>
    <cellStyle name="Comma 7 3 2 4 2" xfId="1735" xr:uid="{00000000-0005-0000-0000-00002F060000}"/>
    <cellStyle name="Comma 7 3 2 5" xfId="1736" xr:uid="{00000000-0005-0000-0000-000030060000}"/>
    <cellStyle name="Comma 7 3 2 5 2" xfId="1737" xr:uid="{00000000-0005-0000-0000-000031060000}"/>
    <cellStyle name="Comma 7 3 2 6" xfId="1738" xr:uid="{00000000-0005-0000-0000-000032060000}"/>
    <cellStyle name="Comma 7 3 3" xfId="1739" xr:uid="{00000000-0005-0000-0000-000033060000}"/>
    <cellStyle name="Comma 7 3 3 2" xfId="1740" xr:uid="{00000000-0005-0000-0000-000034060000}"/>
    <cellStyle name="Comma 7 3 3 2 2" xfId="1741" xr:uid="{00000000-0005-0000-0000-000035060000}"/>
    <cellStyle name="Comma 7 3 3 2 2 2" xfId="1742" xr:uid="{00000000-0005-0000-0000-000036060000}"/>
    <cellStyle name="Comma 7 3 3 2 3" xfId="1743" xr:uid="{00000000-0005-0000-0000-000037060000}"/>
    <cellStyle name="Comma 7 3 3 2 3 2" xfId="1744" xr:uid="{00000000-0005-0000-0000-000038060000}"/>
    <cellStyle name="Comma 7 3 3 2 4" xfId="1745" xr:uid="{00000000-0005-0000-0000-000039060000}"/>
    <cellStyle name="Comma 7 3 3 3" xfId="1746" xr:uid="{00000000-0005-0000-0000-00003A060000}"/>
    <cellStyle name="Comma 7 3 3 3 2" xfId="1747" xr:uid="{00000000-0005-0000-0000-00003B060000}"/>
    <cellStyle name="Comma 7 3 3 4" xfId="1748" xr:uid="{00000000-0005-0000-0000-00003C060000}"/>
    <cellStyle name="Comma 7 3 3 4 2" xfId="1749" xr:uid="{00000000-0005-0000-0000-00003D060000}"/>
    <cellStyle name="Comma 7 3 3 5" xfId="1750" xr:uid="{00000000-0005-0000-0000-00003E060000}"/>
    <cellStyle name="Comma 7 3 4" xfId="1751" xr:uid="{00000000-0005-0000-0000-00003F060000}"/>
    <cellStyle name="Comma 7 3 4 2" xfId="1752" xr:uid="{00000000-0005-0000-0000-000040060000}"/>
    <cellStyle name="Comma 7 3 4 2 2" xfId="1753" xr:uid="{00000000-0005-0000-0000-000041060000}"/>
    <cellStyle name="Comma 7 3 4 3" xfId="1754" xr:uid="{00000000-0005-0000-0000-000042060000}"/>
    <cellStyle name="Comma 7 3 4 3 2" xfId="1755" xr:uid="{00000000-0005-0000-0000-000043060000}"/>
    <cellStyle name="Comma 7 3 4 4" xfId="1756" xr:uid="{00000000-0005-0000-0000-000044060000}"/>
    <cellStyle name="Comma 7 3 5" xfId="1757" xr:uid="{00000000-0005-0000-0000-000045060000}"/>
    <cellStyle name="Comma 7 3 5 2" xfId="1758" xr:uid="{00000000-0005-0000-0000-000046060000}"/>
    <cellStyle name="Comma 7 3 6" xfId="1759" xr:uid="{00000000-0005-0000-0000-000047060000}"/>
    <cellStyle name="Comma 7 3 6 2" xfId="1760" xr:uid="{00000000-0005-0000-0000-000048060000}"/>
    <cellStyle name="Comma 7 3 7" xfId="1761" xr:uid="{00000000-0005-0000-0000-000049060000}"/>
    <cellStyle name="Comma 7 4" xfId="1762" xr:uid="{00000000-0005-0000-0000-00004A060000}"/>
    <cellStyle name="Comma 7 4 2" xfId="1763" xr:uid="{00000000-0005-0000-0000-00004B060000}"/>
    <cellStyle name="Comma 7 4 2 2" xfId="1764" xr:uid="{00000000-0005-0000-0000-00004C060000}"/>
    <cellStyle name="Comma 7 4 2 2 2" xfId="1765" xr:uid="{00000000-0005-0000-0000-00004D060000}"/>
    <cellStyle name="Comma 7 4 2 2 2 2" xfId="1766" xr:uid="{00000000-0005-0000-0000-00004E060000}"/>
    <cellStyle name="Comma 7 4 2 2 2 2 2" xfId="1767" xr:uid="{00000000-0005-0000-0000-00004F060000}"/>
    <cellStyle name="Comma 7 4 2 2 2 3" xfId="1768" xr:uid="{00000000-0005-0000-0000-000050060000}"/>
    <cellStyle name="Comma 7 4 2 2 2 3 2" xfId="1769" xr:uid="{00000000-0005-0000-0000-000051060000}"/>
    <cellStyle name="Comma 7 4 2 2 2 4" xfId="1770" xr:uid="{00000000-0005-0000-0000-000052060000}"/>
    <cellStyle name="Comma 7 4 2 2 3" xfId="1771" xr:uid="{00000000-0005-0000-0000-000053060000}"/>
    <cellStyle name="Comma 7 4 2 2 3 2" xfId="1772" xr:uid="{00000000-0005-0000-0000-000054060000}"/>
    <cellStyle name="Comma 7 4 2 2 4" xfId="1773" xr:uid="{00000000-0005-0000-0000-000055060000}"/>
    <cellStyle name="Comma 7 4 2 2 4 2" xfId="1774" xr:uid="{00000000-0005-0000-0000-000056060000}"/>
    <cellStyle name="Comma 7 4 2 2 5" xfId="1775" xr:uid="{00000000-0005-0000-0000-000057060000}"/>
    <cellStyle name="Comma 7 4 2 3" xfId="1776" xr:uid="{00000000-0005-0000-0000-000058060000}"/>
    <cellStyle name="Comma 7 4 2 3 2" xfId="1777" xr:uid="{00000000-0005-0000-0000-000059060000}"/>
    <cellStyle name="Comma 7 4 2 3 2 2" xfId="1778" xr:uid="{00000000-0005-0000-0000-00005A060000}"/>
    <cellStyle name="Comma 7 4 2 3 3" xfId="1779" xr:uid="{00000000-0005-0000-0000-00005B060000}"/>
    <cellStyle name="Comma 7 4 2 3 3 2" xfId="1780" xr:uid="{00000000-0005-0000-0000-00005C060000}"/>
    <cellStyle name="Comma 7 4 2 3 4" xfId="1781" xr:uid="{00000000-0005-0000-0000-00005D060000}"/>
    <cellStyle name="Comma 7 4 2 4" xfId="1782" xr:uid="{00000000-0005-0000-0000-00005E060000}"/>
    <cellStyle name="Comma 7 4 2 4 2" xfId="1783" xr:uid="{00000000-0005-0000-0000-00005F060000}"/>
    <cellStyle name="Comma 7 4 2 5" xfId="1784" xr:uid="{00000000-0005-0000-0000-000060060000}"/>
    <cellStyle name="Comma 7 4 2 5 2" xfId="1785" xr:uid="{00000000-0005-0000-0000-000061060000}"/>
    <cellStyle name="Comma 7 4 2 6" xfId="1786" xr:uid="{00000000-0005-0000-0000-000062060000}"/>
    <cellStyle name="Comma 7 4 3" xfId="1787" xr:uid="{00000000-0005-0000-0000-000063060000}"/>
    <cellStyle name="Comma 7 4 3 2" xfId="1788" xr:uid="{00000000-0005-0000-0000-000064060000}"/>
    <cellStyle name="Comma 7 4 3 2 2" xfId="1789" xr:uid="{00000000-0005-0000-0000-000065060000}"/>
    <cellStyle name="Comma 7 4 3 2 2 2" xfId="1790" xr:uid="{00000000-0005-0000-0000-000066060000}"/>
    <cellStyle name="Comma 7 4 3 2 3" xfId="1791" xr:uid="{00000000-0005-0000-0000-000067060000}"/>
    <cellStyle name="Comma 7 4 3 2 3 2" xfId="1792" xr:uid="{00000000-0005-0000-0000-000068060000}"/>
    <cellStyle name="Comma 7 4 3 2 4" xfId="1793" xr:uid="{00000000-0005-0000-0000-000069060000}"/>
    <cellStyle name="Comma 7 4 3 3" xfId="1794" xr:uid="{00000000-0005-0000-0000-00006A060000}"/>
    <cellStyle name="Comma 7 4 3 3 2" xfId="1795" xr:uid="{00000000-0005-0000-0000-00006B060000}"/>
    <cellStyle name="Comma 7 4 3 4" xfId="1796" xr:uid="{00000000-0005-0000-0000-00006C060000}"/>
    <cellStyle name="Comma 7 4 3 4 2" xfId="1797" xr:uid="{00000000-0005-0000-0000-00006D060000}"/>
    <cellStyle name="Comma 7 4 3 5" xfId="1798" xr:uid="{00000000-0005-0000-0000-00006E060000}"/>
    <cellStyle name="Comma 7 4 4" xfId="1799" xr:uid="{00000000-0005-0000-0000-00006F060000}"/>
    <cellStyle name="Comma 7 4 4 2" xfId="1800" xr:uid="{00000000-0005-0000-0000-000070060000}"/>
    <cellStyle name="Comma 7 4 4 2 2" xfId="1801" xr:uid="{00000000-0005-0000-0000-000071060000}"/>
    <cellStyle name="Comma 7 4 4 3" xfId="1802" xr:uid="{00000000-0005-0000-0000-000072060000}"/>
    <cellStyle name="Comma 7 4 4 3 2" xfId="1803" xr:uid="{00000000-0005-0000-0000-000073060000}"/>
    <cellStyle name="Comma 7 4 4 4" xfId="1804" xr:uid="{00000000-0005-0000-0000-000074060000}"/>
    <cellStyle name="Comma 7 4 5" xfId="1805" xr:uid="{00000000-0005-0000-0000-000075060000}"/>
    <cellStyle name="Comma 7 4 5 2" xfId="1806" xr:uid="{00000000-0005-0000-0000-000076060000}"/>
    <cellStyle name="Comma 7 4 6" xfId="1807" xr:uid="{00000000-0005-0000-0000-000077060000}"/>
    <cellStyle name="Comma 7 4 6 2" xfId="1808" xr:uid="{00000000-0005-0000-0000-000078060000}"/>
    <cellStyle name="Comma 7 4 7" xfId="1809" xr:uid="{00000000-0005-0000-0000-000079060000}"/>
    <cellStyle name="Comma 7 5" xfId="1810" xr:uid="{00000000-0005-0000-0000-00007A060000}"/>
    <cellStyle name="Comma 7 5 2" xfId="1811" xr:uid="{00000000-0005-0000-0000-00007B060000}"/>
    <cellStyle name="Comma 7 5 2 2" xfId="1812" xr:uid="{00000000-0005-0000-0000-00007C060000}"/>
    <cellStyle name="Comma 7 5 2 2 2" xfId="1813" xr:uid="{00000000-0005-0000-0000-00007D060000}"/>
    <cellStyle name="Comma 7 5 2 2 2 2" xfId="1814" xr:uid="{00000000-0005-0000-0000-00007E060000}"/>
    <cellStyle name="Comma 7 5 2 2 3" xfId="1815" xr:uid="{00000000-0005-0000-0000-00007F060000}"/>
    <cellStyle name="Comma 7 5 2 2 3 2" xfId="1816" xr:uid="{00000000-0005-0000-0000-000080060000}"/>
    <cellStyle name="Comma 7 5 2 2 4" xfId="1817" xr:uid="{00000000-0005-0000-0000-000081060000}"/>
    <cellStyle name="Comma 7 5 2 3" xfId="1818" xr:uid="{00000000-0005-0000-0000-000082060000}"/>
    <cellStyle name="Comma 7 5 2 3 2" xfId="1819" xr:uid="{00000000-0005-0000-0000-000083060000}"/>
    <cellStyle name="Comma 7 5 2 4" xfId="1820" xr:uid="{00000000-0005-0000-0000-000084060000}"/>
    <cellStyle name="Comma 7 5 2 4 2" xfId="1821" xr:uid="{00000000-0005-0000-0000-000085060000}"/>
    <cellStyle name="Comma 7 5 2 5" xfId="1822" xr:uid="{00000000-0005-0000-0000-000086060000}"/>
    <cellStyle name="Comma 7 5 3" xfId="1823" xr:uid="{00000000-0005-0000-0000-000087060000}"/>
    <cellStyle name="Comma 7 5 3 2" xfId="1824" xr:uid="{00000000-0005-0000-0000-000088060000}"/>
    <cellStyle name="Comma 7 5 3 2 2" xfId="1825" xr:uid="{00000000-0005-0000-0000-000089060000}"/>
    <cellStyle name="Comma 7 5 3 3" xfId="1826" xr:uid="{00000000-0005-0000-0000-00008A060000}"/>
    <cellStyle name="Comma 7 5 3 3 2" xfId="1827" xr:uid="{00000000-0005-0000-0000-00008B060000}"/>
    <cellStyle name="Comma 7 5 3 4" xfId="1828" xr:uid="{00000000-0005-0000-0000-00008C060000}"/>
    <cellStyle name="Comma 7 5 4" xfId="1829" xr:uid="{00000000-0005-0000-0000-00008D060000}"/>
    <cellStyle name="Comma 7 5 4 2" xfId="1830" xr:uid="{00000000-0005-0000-0000-00008E060000}"/>
    <cellStyle name="Comma 7 5 5" xfId="1831" xr:uid="{00000000-0005-0000-0000-00008F060000}"/>
    <cellStyle name="Comma 7 5 5 2" xfId="1832" xr:uid="{00000000-0005-0000-0000-000090060000}"/>
    <cellStyle name="Comma 7 5 6" xfId="1833" xr:uid="{00000000-0005-0000-0000-000091060000}"/>
    <cellStyle name="Comma 7 6" xfId="1834" xr:uid="{00000000-0005-0000-0000-000092060000}"/>
    <cellStyle name="Comma 7 6 2" xfId="1835" xr:uid="{00000000-0005-0000-0000-000093060000}"/>
    <cellStyle name="Comma 7 6 2 2" xfId="1836" xr:uid="{00000000-0005-0000-0000-000094060000}"/>
    <cellStyle name="Comma 7 6 2 2 2" xfId="1837" xr:uid="{00000000-0005-0000-0000-000095060000}"/>
    <cellStyle name="Comma 7 6 2 3" xfId="1838" xr:uid="{00000000-0005-0000-0000-000096060000}"/>
    <cellStyle name="Comma 7 6 2 3 2" xfId="1839" xr:uid="{00000000-0005-0000-0000-000097060000}"/>
    <cellStyle name="Comma 7 6 2 4" xfId="1840" xr:uid="{00000000-0005-0000-0000-000098060000}"/>
    <cellStyle name="Comma 7 6 3" xfId="1841" xr:uid="{00000000-0005-0000-0000-000099060000}"/>
    <cellStyle name="Comma 7 6 3 2" xfId="1842" xr:uid="{00000000-0005-0000-0000-00009A060000}"/>
    <cellStyle name="Comma 7 6 4" xfId="1843" xr:uid="{00000000-0005-0000-0000-00009B060000}"/>
    <cellStyle name="Comma 7 6 4 2" xfId="1844" xr:uid="{00000000-0005-0000-0000-00009C060000}"/>
    <cellStyle name="Comma 7 6 5" xfId="1845" xr:uid="{00000000-0005-0000-0000-00009D060000}"/>
    <cellStyle name="Comma 7 7" xfId="1846" xr:uid="{00000000-0005-0000-0000-00009E060000}"/>
    <cellStyle name="Comma 7 7 2" xfId="1847" xr:uid="{00000000-0005-0000-0000-00009F060000}"/>
    <cellStyle name="Comma 7 7 2 2" xfId="1848" xr:uid="{00000000-0005-0000-0000-0000A0060000}"/>
    <cellStyle name="Comma 7 7 3" xfId="1849" xr:uid="{00000000-0005-0000-0000-0000A1060000}"/>
    <cellStyle name="Comma 7 7 3 2" xfId="1850" xr:uid="{00000000-0005-0000-0000-0000A2060000}"/>
    <cellStyle name="Comma 7 7 4" xfId="1851" xr:uid="{00000000-0005-0000-0000-0000A3060000}"/>
    <cellStyle name="Comma 7 8" xfId="1852" xr:uid="{00000000-0005-0000-0000-0000A4060000}"/>
    <cellStyle name="Comma 7 8 2" xfId="1853" xr:uid="{00000000-0005-0000-0000-0000A5060000}"/>
    <cellStyle name="Comma 7 9" xfId="1854" xr:uid="{00000000-0005-0000-0000-0000A6060000}"/>
    <cellStyle name="Comma 7 9 2" xfId="1855" xr:uid="{00000000-0005-0000-0000-0000A7060000}"/>
    <cellStyle name="Comma 8" xfId="45" xr:uid="{00000000-0005-0000-0000-0000A8060000}"/>
    <cellStyle name="Comma 8 2" xfId="189" xr:uid="{00000000-0005-0000-0000-0000A9060000}"/>
    <cellStyle name="Comma 8 2 2" xfId="1857" xr:uid="{00000000-0005-0000-0000-0000AA060000}"/>
    <cellStyle name="Comma 8 2 2 2" xfId="1858" xr:uid="{00000000-0005-0000-0000-0000AB060000}"/>
    <cellStyle name="Comma 8 2 2 2 2" xfId="1859" xr:uid="{00000000-0005-0000-0000-0000AC060000}"/>
    <cellStyle name="Comma 8 2 2 2 2 2" xfId="1860" xr:uid="{00000000-0005-0000-0000-0000AD060000}"/>
    <cellStyle name="Comma 8 2 2 2 2 2 2" xfId="1861" xr:uid="{00000000-0005-0000-0000-0000AE060000}"/>
    <cellStyle name="Comma 8 2 2 2 2 3" xfId="1862" xr:uid="{00000000-0005-0000-0000-0000AF060000}"/>
    <cellStyle name="Comma 8 2 2 2 2 3 2" xfId="1863" xr:uid="{00000000-0005-0000-0000-0000B0060000}"/>
    <cellStyle name="Comma 8 2 2 2 2 4" xfId="1864" xr:uid="{00000000-0005-0000-0000-0000B1060000}"/>
    <cellStyle name="Comma 8 2 2 2 3" xfId="1865" xr:uid="{00000000-0005-0000-0000-0000B2060000}"/>
    <cellStyle name="Comma 8 2 2 2 3 2" xfId="1866" xr:uid="{00000000-0005-0000-0000-0000B3060000}"/>
    <cellStyle name="Comma 8 2 2 2 4" xfId="1867" xr:uid="{00000000-0005-0000-0000-0000B4060000}"/>
    <cellStyle name="Comma 8 2 2 2 4 2" xfId="1868" xr:uid="{00000000-0005-0000-0000-0000B5060000}"/>
    <cellStyle name="Comma 8 2 2 2 5" xfId="1869" xr:uid="{00000000-0005-0000-0000-0000B6060000}"/>
    <cellStyle name="Comma 8 2 2 3" xfId="1870" xr:uid="{00000000-0005-0000-0000-0000B7060000}"/>
    <cellStyle name="Comma 8 2 2 3 2" xfId="1871" xr:uid="{00000000-0005-0000-0000-0000B8060000}"/>
    <cellStyle name="Comma 8 2 2 3 2 2" xfId="1872" xr:uid="{00000000-0005-0000-0000-0000B9060000}"/>
    <cellStyle name="Comma 8 2 2 3 3" xfId="1873" xr:uid="{00000000-0005-0000-0000-0000BA060000}"/>
    <cellStyle name="Comma 8 2 2 3 3 2" xfId="1874" xr:uid="{00000000-0005-0000-0000-0000BB060000}"/>
    <cellStyle name="Comma 8 2 2 3 4" xfId="1875" xr:uid="{00000000-0005-0000-0000-0000BC060000}"/>
    <cellStyle name="Comma 8 2 2 4" xfId="1876" xr:uid="{00000000-0005-0000-0000-0000BD060000}"/>
    <cellStyle name="Comma 8 2 2 4 2" xfId="1877" xr:uid="{00000000-0005-0000-0000-0000BE060000}"/>
    <cellStyle name="Comma 8 2 2 5" xfId="1878" xr:uid="{00000000-0005-0000-0000-0000BF060000}"/>
    <cellStyle name="Comma 8 2 2 5 2" xfId="1879" xr:uid="{00000000-0005-0000-0000-0000C0060000}"/>
    <cellStyle name="Comma 8 2 2 6" xfId="1880" xr:uid="{00000000-0005-0000-0000-0000C1060000}"/>
    <cellStyle name="Comma 8 2 3" xfId="1881" xr:uid="{00000000-0005-0000-0000-0000C2060000}"/>
    <cellStyle name="Comma 8 2 3 2" xfId="1882" xr:uid="{00000000-0005-0000-0000-0000C3060000}"/>
    <cellStyle name="Comma 8 2 3 2 2" xfId="1883" xr:uid="{00000000-0005-0000-0000-0000C4060000}"/>
    <cellStyle name="Comma 8 2 3 2 2 2" xfId="1884" xr:uid="{00000000-0005-0000-0000-0000C5060000}"/>
    <cellStyle name="Comma 8 2 3 2 3" xfId="1885" xr:uid="{00000000-0005-0000-0000-0000C6060000}"/>
    <cellStyle name="Comma 8 2 3 2 3 2" xfId="1886" xr:uid="{00000000-0005-0000-0000-0000C7060000}"/>
    <cellStyle name="Comma 8 2 3 2 4" xfId="1887" xr:uid="{00000000-0005-0000-0000-0000C8060000}"/>
    <cellStyle name="Comma 8 2 3 3" xfId="1888" xr:uid="{00000000-0005-0000-0000-0000C9060000}"/>
    <cellStyle name="Comma 8 2 3 3 2" xfId="1889" xr:uid="{00000000-0005-0000-0000-0000CA060000}"/>
    <cellStyle name="Comma 8 2 3 4" xfId="1890" xr:uid="{00000000-0005-0000-0000-0000CB060000}"/>
    <cellStyle name="Comma 8 2 3 4 2" xfId="1891" xr:uid="{00000000-0005-0000-0000-0000CC060000}"/>
    <cellStyle name="Comma 8 2 3 5" xfId="1892" xr:uid="{00000000-0005-0000-0000-0000CD060000}"/>
    <cellStyle name="Comma 8 2 4" xfId="1893" xr:uid="{00000000-0005-0000-0000-0000CE060000}"/>
    <cellStyle name="Comma 8 2 4 2" xfId="1894" xr:uid="{00000000-0005-0000-0000-0000CF060000}"/>
    <cellStyle name="Comma 8 2 4 2 2" xfId="1895" xr:uid="{00000000-0005-0000-0000-0000D0060000}"/>
    <cellStyle name="Comma 8 2 4 3" xfId="1896" xr:uid="{00000000-0005-0000-0000-0000D1060000}"/>
    <cellStyle name="Comma 8 2 4 3 2" xfId="1897" xr:uid="{00000000-0005-0000-0000-0000D2060000}"/>
    <cellStyle name="Comma 8 2 4 4" xfId="1898" xr:uid="{00000000-0005-0000-0000-0000D3060000}"/>
    <cellStyle name="Comma 8 2 5" xfId="1899" xr:uid="{00000000-0005-0000-0000-0000D4060000}"/>
    <cellStyle name="Comma 8 2 5 2" xfId="1900" xr:uid="{00000000-0005-0000-0000-0000D5060000}"/>
    <cellStyle name="Comma 8 2 6" xfId="1901" xr:uid="{00000000-0005-0000-0000-0000D6060000}"/>
    <cellStyle name="Comma 8 2 6 2" xfId="1902" xr:uid="{00000000-0005-0000-0000-0000D7060000}"/>
    <cellStyle name="Comma 8 2 7" xfId="1903" xr:uid="{00000000-0005-0000-0000-0000D8060000}"/>
    <cellStyle name="Comma 8 2 8" xfId="1856" xr:uid="{00000000-0005-0000-0000-0000D9060000}"/>
    <cellStyle name="Comma 8 3" xfId="1904" xr:uid="{00000000-0005-0000-0000-0000DA060000}"/>
    <cellStyle name="Comma 8 3 2" xfId="1905" xr:uid="{00000000-0005-0000-0000-0000DB060000}"/>
    <cellStyle name="Comma 8 3 2 2" xfId="1906" xr:uid="{00000000-0005-0000-0000-0000DC060000}"/>
    <cellStyle name="Comma 8 3 2 2 2" xfId="1907" xr:uid="{00000000-0005-0000-0000-0000DD060000}"/>
    <cellStyle name="Comma 8 3 2 2 2 2" xfId="1908" xr:uid="{00000000-0005-0000-0000-0000DE060000}"/>
    <cellStyle name="Comma 8 3 2 2 2 2 2" xfId="1909" xr:uid="{00000000-0005-0000-0000-0000DF060000}"/>
    <cellStyle name="Comma 8 3 2 2 2 3" xfId="1910" xr:uid="{00000000-0005-0000-0000-0000E0060000}"/>
    <cellStyle name="Comma 8 3 2 2 2 3 2" xfId="1911" xr:uid="{00000000-0005-0000-0000-0000E1060000}"/>
    <cellStyle name="Comma 8 3 2 2 2 4" xfId="1912" xr:uid="{00000000-0005-0000-0000-0000E2060000}"/>
    <cellStyle name="Comma 8 3 2 2 3" xfId="1913" xr:uid="{00000000-0005-0000-0000-0000E3060000}"/>
    <cellStyle name="Comma 8 3 2 2 3 2" xfId="1914" xr:uid="{00000000-0005-0000-0000-0000E4060000}"/>
    <cellStyle name="Comma 8 3 2 2 4" xfId="1915" xr:uid="{00000000-0005-0000-0000-0000E5060000}"/>
    <cellStyle name="Comma 8 3 2 2 4 2" xfId="1916" xr:uid="{00000000-0005-0000-0000-0000E6060000}"/>
    <cellStyle name="Comma 8 3 2 2 5" xfId="1917" xr:uid="{00000000-0005-0000-0000-0000E7060000}"/>
    <cellStyle name="Comma 8 3 2 3" xfId="1918" xr:uid="{00000000-0005-0000-0000-0000E8060000}"/>
    <cellStyle name="Comma 8 3 2 3 2" xfId="1919" xr:uid="{00000000-0005-0000-0000-0000E9060000}"/>
    <cellStyle name="Comma 8 3 2 3 2 2" xfId="1920" xr:uid="{00000000-0005-0000-0000-0000EA060000}"/>
    <cellStyle name="Comma 8 3 2 3 3" xfId="1921" xr:uid="{00000000-0005-0000-0000-0000EB060000}"/>
    <cellStyle name="Comma 8 3 2 3 3 2" xfId="1922" xr:uid="{00000000-0005-0000-0000-0000EC060000}"/>
    <cellStyle name="Comma 8 3 2 3 4" xfId="1923" xr:uid="{00000000-0005-0000-0000-0000ED060000}"/>
    <cellStyle name="Comma 8 3 2 4" xfId="1924" xr:uid="{00000000-0005-0000-0000-0000EE060000}"/>
    <cellStyle name="Comma 8 3 2 4 2" xfId="1925" xr:uid="{00000000-0005-0000-0000-0000EF060000}"/>
    <cellStyle name="Comma 8 3 2 5" xfId="1926" xr:uid="{00000000-0005-0000-0000-0000F0060000}"/>
    <cellStyle name="Comma 8 3 2 5 2" xfId="1927" xr:uid="{00000000-0005-0000-0000-0000F1060000}"/>
    <cellStyle name="Comma 8 3 2 6" xfId="1928" xr:uid="{00000000-0005-0000-0000-0000F2060000}"/>
    <cellStyle name="Comma 8 3 3" xfId="1929" xr:uid="{00000000-0005-0000-0000-0000F3060000}"/>
    <cellStyle name="Comma 8 3 3 2" xfId="1930" xr:uid="{00000000-0005-0000-0000-0000F4060000}"/>
    <cellStyle name="Comma 8 3 3 2 2" xfId="1931" xr:uid="{00000000-0005-0000-0000-0000F5060000}"/>
    <cellStyle name="Comma 8 3 3 2 2 2" xfId="1932" xr:uid="{00000000-0005-0000-0000-0000F6060000}"/>
    <cellStyle name="Comma 8 3 3 2 3" xfId="1933" xr:uid="{00000000-0005-0000-0000-0000F7060000}"/>
    <cellStyle name="Comma 8 3 3 2 3 2" xfId="1934" xr:uid="{00000000-0005-0000-0000-0000F8060000}"/>
    <cellStyle name="Comma 8 3 3 2 4" xfId="1935" xr:uid="{00000000-0005-0000-0000-0000F9060000}"/>
    <cellStyle name="Comma 8 3 3 3" xfId="1936" xr:uid="{00000000-0005-0000-0000-0000FA060000}"/>
    <cellStyle name="Comma 8 3 3 3 2" xfId="1937" xr:uid="{00000000-0005-0000-0000-0000FB060000}"/>
    <cellStyle name="Comma 8 3 3 4" xfId="1938" xr:uid="{00000000-0005-0000-0000-0000FC060000}"/>
    <cellStyle name="Comma 8 3 3 4 2" xfId="1939" xr:uid="{00000000-0005-0000-0000-0000FD060000}"/>
    <cellStyle name="Comma 8 3 3 5" xfId="1940" xr:uid="{00000000-0005-0000-0000-0000FE060000}"/>
    <cellStyle name="Comma 8 3 4" xfId="1941" xr:uid="{00000000-0005-0000-0000-0000FF060000}"/>
    <cellStyle name="Comma 8 3 4 2" xfId="1942" xr:uid="{00000000-0005-0000-0000-000000070000}"/>
    <cellStyle name="Comma 8 3 4 2 2" xfId="1943" xr:uid="{00000000-0005-0000-0000-000001070000}"/>
    <cellStyle name="Comma 8 3 4 3" xfId="1944" xr:uid="{00000000-0005-0000-0000-000002070000}"/>
    <cellStyle name="Comma 8 3 4 3 2" xfId="1945" xr:uid="{00000000-0005-0000-0000-000003070000}"/>
    <cellStyle name="Comma 8 3 4 4" xfId="1946" xr:uid="{00000000-0005-0000-0000-000004070000}"/>
    <cellStyle name="Comma 8 3 5" xfId="1947" xr:uid="{00000000-0005-0000-0000-000005070000}"/>
    <cellStyle name="Comma 8 3 5 2" xfId="1948" xr:uid="{00000000-0005-0000-0000-000006070000}"/>
    <cellStyle name="Comma 8 3 6" xfId="1949" xr:uid="{00000000-0005-0000-0000-000007070000}"/>
    <cellStyle name="Comma 8 3 6 2" xfId="1950" xr:uid="{00000000-0005-0000-0000-000008070000}"/>
    <cellStyle name="Comma 8 3 7" xfId="1951" xr:uid="{00000000-0005-0000-0000-000009070000}"/>
    <cellStyle name="Comma 8 4" xfId="1952" xr:uid="{00000000-0005-0000-0000-00000A070000}"/>
    <cellStyle name="Comma 8 4 2" xfId="1953" xr:uid="{00000000-0005-0000-0000-00000B070000}"/>
    <cellStyle name="Comma 8 4 2 2" xfId="1954" xr:uid="{00000000-0005-0000-0000-00000C070000}"/>
    <cellStyle name="Comma 8 4 2 2 2" xfId="1955" xr:uid="{00000000-0005-0000-0000-00000D070000}"/>
    <cellStyle name="Comma 8 4 2 2 2 2" xfId="1956" xr:uid="{00000000-0005-0000-0000-00000E070000}"/>
    <cellStyle name="Comma 8 4 2 2 3" xfId="1957" xr:uid="{00000000-0005-0000-0000-00000F070000}"/>
    <cellStyle name="Comma 8 4 2 2 3 2" xfId="1958" xr:uid="{00000000-0005-0000-0000-000010070000}"/>
    <cellStyle name="Comma 8 4 2 2 4" xfId="1959" xr:uid="{00000000-0005-0000-0000-000011070000}"/>
    <cellStyle name="Comma 8 4 2 3" xfId="1960" xr:uid="{00000000-0005-0000-0000-000012070000}"/>
    <cellStyle name="Comma 8 4 2 3 2" xfId="1961" xr:uid="{00000000-0005-0000-0000-000013070000}"/>
    <cellStyle name="Comma 8 4 2 4" xfId="1962" xr:uid="{00000000-0005-0000-0000-000014070000}"/>
    <cellStyle name="Comma 8 4 2 4 2" xfId="1963" xr:uid="{00000000-0005-0000-0000-000015070000}"/>
    <cellStyle name="Comma 8 4 2 5" xfId="1964" xr:uid="{00000000-0005-0000-0000-000016070000}"/>
    <cellStyle name="Comma 8 4 3" xfId="1965" xr:uid="{00000000-0005-0000-0000-000017070000}"/>
    <cellStyle name="Comma 8 4 3 2" xfId="1966" xr:uid="{00000000-0005-0000-0000-000018070000}"/>
    <cellStyle name="Comma 8 4 3 2 2" xfId="1967" xr:uid="{00000000-0005-0000-0000-000019070000}"/>
    <cellStyle name="Comma 8 4 3 3" xfId="1968" xr:uid="{00000000-0005-0000-0000-00001A070000}"/>
    <cellStyle name="Comma 8 4 3 3 2" xfId="1969" xr:uid="{00000000-0005-0000-0000-00001B070000}"/>
    <cellStyle name="Comma 8 4 3 4" xfId="1970" xr:uid="{00000000-0005-0000-0000-00001C070000}"/>
    <cellStyle name="Comma 8 4 4" xfId="1971" xr:uid="{00000000-0005-0000-0000-00001D070000}"/>
    <cellStyle name="Comma 8 4 4 2" xfId="1972" xr:uid="{00000000-0005-0000-0000-00001E070000}"/>
    <cellStyle name="Comma 8 4 5" xfId="1973" xr:uid="{00000000-0005-0000-0000-00001F070000}"/>
    <cellStyle name="Comma 8 4 5 2" xfId="1974" xr:uid="{00000000-0005-0000-0000-000020070000}"/>
    <cellStyle name="Comma 8 4 6" xfId="1975" xr:uid="{00000000-0005-0000-0000-000021070000}"/>
    <cellStyle name="Comma 8 5" xfId="1976" xr:uid="{00000000-0005-0000-0000-000022070000}"/>
    <cellStyle name="Comma 8 5 2" xfId="1977" xr:uid="{00000000-0005-0000-0000-000023070000}"/>
    <cellStyle name="Comma 8 5 2 2" xfId="1978" xr:uid="{00000000-0005-0000-0000-000024070000}"/>
    <cellStyle name="Comma 8 5 2 2 2" xfId="1979" xr:uid="{00000000-0005-0000-0000-000025070000}"/>
    <cellStyle name="Comma 8 5 2 3" xfId="1980" xr:uid="{00000000-0005-0000-0000-000026070000}"/>
    <cellStyle name="Comma 8 5 2 3 2" xfId="1981" xr:uid="{00000000-0005-0000-0000-000027070000}"/>
    <cellStyle name="Comma 8 5 2 4" xfId="1982" xr:uid="{00000000-0005-0000-0000-000028070000}"/>
    <cellStyle name="Comma 8 5 3" xfId="1983" xr:uid="{00000000-0005-0000-0000-000029070000}"/>
    <cellStyle name="Comma 8 5 3 2" xfId="1984" xr:uid="{00000000-0005-0000-0000-00002A070000}"/>
    <cellStyle name="Comma 8 5 4" xfId="1985" xr:uid="{00000000-0005-0000-0000-00002B070000}"/>
    <cellStyle name="Comma 8 5 4 2" xfId="1986" xr:uid="{00000000-0005-0000-0000-00002C070000}"/>
    <cellStyle name="Comma 8 5 5" xfId="1987" xr:uid="{00000000-0005-0000-0000-00002D070000}"/>
    <cellStyle name="Comma 8 6" xfId="1988" xr:uid="{00000000-0005-0000-0000-00002E070000}"/>
    <cellStyle name="Comma 8 6 2" xfId="1989" xr:uid="{00000000-0005-0000-0000-00002F070000}"/>
    <cellStyle name="Comma 8 6 2 2" xfId="1990" xr:uid="{00000000-0005-0000-0000-000030070000}"/>
    <cellStyle name="Comma 8 6 3" xfId="1991" xr:uid="{00000000-0005-0000-0000-000031070000}"/>
    <cellStyle name="Comma 8 6 3 2" xfId="1992" xr:uid="{00000000-0005-0000-0000-000032070000}"/>
    <cellStyle name="Comma 8 6 4" xfId="1993" xr:uid="{00000000-0005-0000-0000-000033070000}"/>
    <cellStyle name="Comma 8 7" xfId="1994" xr:uid="{00000000-0005-0000-0000-000034070000}"/>
    <cellStyle name="Comma 8 7 2" xfId="1995" xr:uid="{00000000-0005-0000-0000-000035070000}"/>
    <cellStyle name="Comma 8 8" xfId="1996" xr:uid="{00000000-0005-0000-0000-000036070000}"/>
    <cellStyle name="Comma 8 8 2" xfId="1997" xr:uid="{00000000-0005-0000-0000-000037070000}"/>
    <cellStyle name="Comma 8 9" xfId="1998" xr:uid="{00000000-0005-0000-0000-000038070000}"/>
    <cellStyle name="Comma 9" xfId="46" xr:uid="{00000000-0005-0000-0000-000039070000}"/>
    <cellStyle name="Comma 9 2" xfId="190" xr:uid="{00000000-0005-0000-0000-00003A070000}"/>
    <cellStyle name="Comma(2)" xfId="47" xr:uid="{00000000-0005-0000-0000-00003B070000}"/>
    <cellStyle name="Comma0" xfId="1999" xr:uid="{00000000-0005-0000-0000-00003C070000}"/>
    <cellStyle name="Comma0 - Style2" xfId="48" xr:uid="{00000000-0005-0000-0000-00003D070000}"/>
    <cellStyle name="Comma1 - Style1" xfId="49" xr:uid="{00000000-0005-0000-0000-00003E070000}"/>
    <cellStyle name="Comments" xfId="50" xr:uid="{00000000-0005-0000-0000-00003F070000}"/>
    <cellStyle name="Currency" xfId="9020" builtinId="4"/>
    <cellStyle name="Currency 10" xfId="2000" xr:uid="{00000000-0005-0000-0000-000040070000}"/>
    <cellStyle name="Currency 10 2" xfId="2001" xr:uid="{00000000-0005-0000-0000-000041070000}"/>
    <cellStyle name="Currency 10 2 2" xfId="2002" xr:uid="{00000000-0005-0000-0000-000042070000}"/>
    <cellStyle name="Currency 10 2 2 2" xfId="2003" xr:uid="{00000000-0005-0000-0000-000043070000}"/>
    <cellStyle name="Currency 10 2 2 2 2" xfId="2004" xr:uid="{00000000-0005-0000-0000-000044070000}"/>
    <cellStyle name="Currency 10 2 2 2 2 2" xfId="2005" xr:uid="{00000000-0005-0000-0000-000045070000}"/>
    <cellStyle name="Currency 10 2 2 2 3" xfId="2006" xr:uid="{00000000-0005-0000-0000-000046070000}"/>
    <cellStyle name="Currency 10 2 2 2 3 2" xfId="2007" xr:uid="{00000000-0005-0000-0000-000047070000}"/>
    <cellStyle name="Currency 10 2 2 2 4" xfId="2008" xr:uid="{00000000-0005-0000-0000-000048070000}"/>
    <cellStyle name="Currency 10 2 2 3" xfId="2009" xr:uid="{00000000-0005-0000-0000-000049070000}"/>
    <cellStyle name="Currency 10 2 2 3 2" xfId="2010" xr:uid="{00000000-0005-0000-0000-00004A070000}"/>
    <cellStyle name="Currency 10 2 2 4" xfId="2011" xr:uid="{00000000-0005-0000-0000-00004B070000}"/>
    <cellStyle name="Currency 10 2 2 4 2" xfId="2012" xr:uid="{00000000-0005-0000-0000-00004C070000}"/>
    <cellStyle name="Currency 10 2 2 5" xfId="2013" xr:uid="{00000000-0005-0000-0000-00004D070000}"/>
    <cellStyle name="Currency 10 2 3" xfId="2014" xr:uid="{00000000-0005-0000-0000-00004E070000}"/>
    <cellStyle name="Currency 10 2 3 2" xfId="2015" xr:uid="{00000000-0005-0000-0000-00004F070000}"/>
    <cellStyle name="Currency 10 2 3 2 2" xfId="2016" xr:uid="{00000000-0005-0000-0000-000050070000}"/>
    <cellStyle name="Currency 10 2 3 3" xfId="2017" xr:uid="{00000000-0005-0000-0000-000051070000}"/>
    <cellStyle name="Currency 10 2 3 3 2" xfId="2018" xr:uid="{00000000-0005-0000-0000-000052070000}"/>
    <cellStyle name="Currency 10 2 3 4" xfId="2019" xr:uid="{00000000-0005-0000-0000-000053070000}"/>
    <cellStyle name="Currency 10 2 4" xfId="2020" xr:uid="{00000000-0005-0000-0000-000054070000}"/>
    <cellStyle name="Currency 10 2 4 2" xfId="2021" xr:uid="{00000000-0005-0000-0000-000055070000}"/>
    <cellStyle name="Currency 10 2 5" xfId="2022" xr:uid="{00000000-0005-0000-0000-000056070000}"/>
    <cellStyle name="Currency 10 2 5 2" xfId="2023" xr:uid="{00000000-0005-0000-0000-000057070000}"/>
    <cellStyle name="Currency 10 2 6" xfId="2024" xr:uid="{00000000-0005-0000-0000-000058070000}"/>
    <cellStyle name="Currency 10 3" xfId="2025" xr:uid="{00000000-0005-0000-0000-000059070000}"/>
    <cellStyle name="Currency 10 4" xfId="2026" xr:uid="{00000000-0005-0000-0000-00005A070000}"/>
    <cellStyle name="Currency 11" xfId="2027" xr:uid="{00000000-0005-0000-0000-00005B070000}"/>
    <cellStyle name="Currency 11 2" xfId="2028" xr:uid="{00000000-0005-0000-0000-00005C070000}"/>
    <cellStyle name="Currency 11 2 2" xfId="2029" xr:uid="{00000000-0005-0000-0000-00005D070000}"/>
    <cellStyle name="Currency 11 3" xfId="2030" xr:uid="{00000000-0005-0000-0000-00005E070000}"/>
    <cellStyle name="Currency 11 4" xfId="2031" xr:uid="{00000000-0005-0000-0000-00005F070000}"/>
    <cellStyle name="Currency 11 5" xfId="2032" xr:uid="{00000000-0005-0000-0000-000060070000}"/>
    <cellStyle name="Currency 12" xfId="2033" xr:uid="{00000000-0005-0000-0000-000061070000}"/>
    <cellStyle name="Currency 12 2" xfId="2034" xr:uid="{00000000-0005-0000-0000-000062070000}"/>
    <cellStyle name="Currency 12 2 2" xfId="2035" xr:uid="{00000000-0005-0000-0000-000063070000}"/>
    <cellStyle name="Currency 12 3" xfId="2036" xr:uid="{00000000-0005-0000-0000-000064070000}"/>
    <cellStyle name="Currency 13" xfId="2037" xr:uid="{00000000-0005-0000-0000-000065070000}"/>
    <cellStyle name="Currency 14" xfId="2038" xr:uid="{00000000-0005-0000-0000-000066070000}"/>
    <cellStyle name="Currency 14 2" xfId="2039" xr:uid="{00000000-0005-0000-0000-000067070000}"/>
    <cellStyle name="Currency 15" xfId="2040" xr:uid="{00000000-0005-0000-0000-000068070000}"/>
    <cellStyle name="Currency 16" xfId="2041" xr:uid="{00000000-0005-0000-0000-000069070000}"/>
    <cellStyle name="Currency 17" xfId="2042" xr:uid="{00000000-0005-0000-0000-00006A070000}"/>
    <cellStyle name="Currency 18" xfId="2043" xr:uid="{00000000-0005-0000-0000-00006B070000}"/>
    <cellStyle name="Currency 19" xfId="2044" xr:uid="{00000000-0005-0000-0000-00006C070000}"/>
    <cellStyle name="Currency 2" xfId="51" xr:uid="{00000000-0005-0000-0000-00006D070000}"/>
    <cellStyle name="Currency 2 2" xfId="52" xr:uid="{00000000-0005-0000-0000-00006E070000}"/>
    <cellStyle name="Currency 2 2 2" xfId="192" xr:uid="{00000000-0005-0000-0000-00006F070000}"/>
    <cellStyle name="Currency 2 2 2 2" xfId="2046" xr:uid="{00000000-0005-0000-0000-000070070000}"/>
    <cellStyle name="Currency 2 2 2 3" xfId="2047" xr:uid="{00000000-0005-0000-0000-000071070000}"/>
    <cellStyle name="Currency 2 2 2 4" xfId="2048" xr:uid="{00000000-0005-0000-0000-000072070000}"/>
    <cellStyle name="Currency 2 2 2 5" xfId="2049" xr:uid="{00000000-0005-0000-0000-000073070000}"/>
    <cellStyle name="Currency 2 2 2 6" xfId="2050" xr:uid="{00000000-0005-0000-0000-000074070000}"/>
    <cellStyle name="Currency 2 2 3" xfId="2051" xr:uid="{00000000-0005-0000-0000-000075070000}"/>
    <cellStyle name="Currency 2 2 3 2" xfId="2052" xr:uid="{00000000-0005-0000-0000-000076070000}"/>
    <cellStyle name="Currency 2 2 3 3" xfId="2053" xr:uid="{00000000-0005-0000-0000-000077070000}"/>
    <cellStyle name="Currency 2 2 4" xfId="2054" xr:uid="{00000000-0005-0000-0000-000078070000}"/>
    <cellStyle name="Currency 2 2 4 2" xfId="2055" xr:uid="{00000000-0005-0000-0000-000079070000}"/>
    <cellStyle name="Currency 2 2 4 3" xfId="2056" xr:uid="{00000000-0005-0000-0000-00007A070000}"/>
    <cellStyle name="Currency 2 2 5" xfId="2057" xr:uid="{00000000-0005-0000-0000-00007B070000}"/>
    <cellStyle name="Currency 2 2 6" xfId="2058" xr:uid="{00000000-0005-0000-0000-00007C070000}"/>
    <cellStyle name="Currency 2 2 7" xfId="2059" xr:uid="{00000000-0005-0000-0000-00007D070000}"/>
    <cellStyle name="Currency 2 2 8" xfId="2060" xr:uid="{00000000-0005-0000-0000-00007E070000}"/>
    <cellStyle name="Currency 2 3" xfId="193" xr:uid="{00000000-0005-0000-0000-00007F070000}"/>
    <cellStyle name="Currency 2 3 2" xfId="2062" xr:uid="{00000000-0005-0000-0000-000080070000}"/>
    <cellStyle name="Currency 2 3 2 2" xfId="2063" xr:uid="{00000000-0005-0000-0000-000081070000}"/>
    <cellStyle name="Currency 2 3 2 3" xfId="2064" xr:uid="{00000000-0005-0000-0000-000082070000}"/>
    <cellStyle name="Currency 2 3 2 4" xfId="2065" xr:uid="{00000000-0005-0000-0000-000083070000}"/>
    <cellStyle name="Currency 2 3 2 5" xfId="2066" xr:uid="{00000000-0005-0000-0000-000084070000}"/>
    <cellStyle name="Currency 2 3 2 6" xfId="2067" xr:uid="{00000000-0005-0000-0000-000085070000}"/>
    <cellStyle name="Currency 2 3 3" xfId="2068" xr:uid="{00000000-0005-0000-0000-000086070000}"/>
    <cellStyle name="Currency 2 3 3 2" xfId="2069" xr:uid="{00000000-0005-0000-0000-000087070000}"/>
    <cellStyle name="Currency 2 3 3 3" xfId="2070" xr:uid="{00000000-0005-0000-0000-000088070000}"/>
    <cellStyle name="Currency 2 3 3 4" xfId="2071" xr:uid="{00000000-0005-0000-0000-000089070000}"/>
    <cellStyle name="Currency 2 3 3 5" xfId="2072" xr:uid="{00000000-0005-0000-0000-00008A070000}"/>
    <cellStyle name="Currency 2 3 4" xfId="2073" xr:uid="{00000000-0005-0000-0000-00008B070000}"/>
    <cellStyle name="Currency 2 3 4 2" xfId="2074" xr:uid="{00000000-0005-0000-0000-00008C070000}"/>
    <cellStyle name="Currency 2 3 4 3" xfId="2075" xr:uid="{00000000-0005-0000-0000-00008D070000}"/>
    <cellStyle name="Currency 2 3 5" xfId="2076" xr:uid="{00000000-0005-0000-0000-00008E070000}"/>
    <cellStyle name="Currency 2 3 6" xfId="2077" xr:uid="{00000000-0005-0000-0000-00008F070000}"/>
    <cellStyle name="Currency 2 3 7" xfId="2078" xr:uid="{00000000-0005-0000-0000-000090070000}"/>
    <cellStyle name="Currency 2 3 8" xfId="2061" xr:uid="{00000000-0005-0000-0000-000091070000}"/>
    <cellStyle name="Currency 2 4" xfId="194" xr:uid="{00000000-0005-0000-0000-000092070000}"/>
    <cellStyle name="Currency 2 4 2" xfId="2080" xr:uid="{00000000-0005-0000-0000-000093070000}"/>
    <cellStyle name="Currency 2 4 2 2" xfId="2081" xr:uid="{00000000-0005-0000-0000-000094070000}"/>
    <cellStyle name="Currency 2 4 2 3" xfId="2082" xr:uid="{00000000-0005-0000-0000-000095070000}"/>
    <cellStyle name="Currency 2 4 2 4" xfId="2083" xr:uid="{00000000-0005-0000-0000-000096070000}"/>
    <cellStyle name="Currency 2 4 2 5" xfId="2084" xr:uid="{00000000-0005-0000-0000-000097070000}"/>
    <cellStyle name="Currency 2 4 3" xfId="2085" xr:uid="{00000000-0005-0000-0000-000098070000}"/>
    <cellStyle name="Currency 2 4 3 2" xfId="2086" xr:uid="{00000000-0005-0000-0000-000099070000}"/>
    <cellStyle name="Currency 2 4 3 3" xfId="2087" xr:uid="{00000000-0005-0000-0000-00009A070000}"/>
    <cellStyle name="Currency 2 4 4" xfId="2088" xr:uid="{00000000-0005-0000-0000-00009B070000}"/>
    <cellStyle name="Currency 2 4 4 2" xfId="2089" xr:uid="{00000000-0005-0000-0000-00009C070000}"/>
    <cellStyle name="Currency 2 4 4 3" xfId="2090" xr:uid="{00000000-0005-0000-0000-00009D070000}"/>
    <cellStyle name="Currency 2 4 5" xfId="2091" xr:uid="{00000000-0005-0000-0000-00009E070000}"/>
    <cellStyle name="Currency 2 4 6" xfId="2092" xr:uid="{00000000-0005-0000-0000-00009F070000}"/>
    <cellStyle name="Currency 2 4 7" xfId="2093" xr:uid="{00000000-0005-0000-0000-0000A0070000}"/>
    <cellStyle name="Currency 2 4 8" xfId="2094" xr:uid="{00000000-0005-0000-0000-0000A1070000}"/>
    <cellStyle name="Currency 2 4 9" xfId="2079" xr:uid="{00000000-0005-0000-0000-0000A2070000}"/>
    <cellStyle name="Currency 2 5" xfId="2095" xr:uid="{00000000-0005-0000-0000-0000A3070000}"/>
    <cellStyle name="Currency 2 5 2" xfId="2096" xr:uid="{00000000-0005-0000-0000-0000A4070000}"/>
    <cellStyle name="Currency 2 5 3" xfId="2097" xr:uid="{00000000-0005-0000-0000-0000A5070000}"/>
    <cellStyle name="Currency 2 6" xfId="2098" xr:uid="{00000000-0005-0000-0000-0000A6070000}"/>
    <cellStyle name="Currency 2 6 2" xfId="2099" xr:uid="{00000000-0005-0000-0000-0000A7070000}"/>
    <cellStyle name="Currency 2 6 3" xfId="2100" xr:uid="{00000000-0005-0000-0000-0000A8070000}"/>
    <cellStyle name="Currency 2 7" xfId="2101" xr:uid="{00000000-0005-0000-0000-0000A9070000}"/>
    <cellStyle name="Currency 2 8" xfId="2045" xr:uid="{00000000-0005-0000-0000-0000AA070000}"/>
    <cellStyle name="Currency 3" xfId="53" xr:uid="{00000000-0005-0000-0000-0000AB070000}"/>
    <cellStyle name="Currency 3 10" xfId="2102" xr:uid="{00000000-0005-0000-0000-0000AC070000}"/>
    <cellStyle name="Currency 3 2" xfId="2103" xr:uid="{00000000-0005-0000-0000-0000AD070000}"/>
    <cellStyle name="Currency 3 2 2" xfId="2104" xr:uid="{00000000-0005-0000-0000-0000AE070000}"/>
    <cellStyle name="Currency 3 2 2 2" xfId="2105" xr:uid="{00000000-0005-0000-0000-0000AF070000}"/>
    <cellStyle name="Currency 3 2 2 2 2" xfId="2106" xr:uid="{00000000-0005-0000-0000-0000B0070000}"/>
    <cellStyle name="Currency 3 2 2 2 2 2" xfId="2107" xr:uid="{00000000-0005-0000-0000-0000B1070000}"/>
    <cellStyle name="Currency 3 2 2 2 2 2 2" xfId="2108" xr:uid="{00000000-0005-0000-0000-0000B2070000}"/>
    <cellStyle name="Currency 3 2 2 2 2 2 2 2" xfId="2109" xr:uid="{00000000-0005-0000-0000-0000B3070000}"/>
    <cellStyle name="Currency 3 2 2 2 2 2 3" xfId="2110" xr:uid="{00000000-0005-0000-0000-0000B4070000}"/>
    <cellStyle name="Currency 3 2 2 2 2 2 3 2" xfId="2111" xr:uid="{00000000-0005-0000-0000-0000B5070000}"/>
    <cellStyle name="Currency 3 2 2 2 2 2 4" xfId="2112" xr:uid="{00000000-0005-0000-0000-0000B6070000}"/>
    <cellStyle name="Currency 3 2 2 2 2 3" xfId="2113" xr:uid="{00000000-0005-0000-0000-0000B7070000}"/>
    <cellStyle name="Currency 3 2 2 2 2 3 2" xfId="2114" xr:uid="{00000000-0005-0000-0000-0000B8070000}"/>
    <cellStyle name="Currency 3 2 2 2 2 4" xfId="2115" xr:uid="{00000000-0005-0000-0000-0000B9070000}"/>
    <cellStyle name="Currency 3 2 2 2 2 4 2" xfId="2116" xr:uid="{00000000-0005-0000-0000-0000BA070000}"/>
    <cellStyle name="Currency 3 2 2 2 2 5" xfId="2117" xr:uid="{00000000-0005-0000-0000-0000BB070000}"/>
    <cellStyle name="Currency 3 2 2 2 3" xfId="2118" xr:uid="{00000000-0005-0000-0000-0000BC070000}"/>
    <cellStyle name="Currency 3 2 2 2 3 2" xfId="2119" xr:uid="{00000000-0005-0000-0000-0000BD070000}"/>
    <cellStyle name="Currency 3 2 2 2 3 2 2" xfId="2120" xr:uid="{00000000-0005-0000-0000-0000BE070000}"/>
    <cellStyle name="Currency 3 2 2 2 3 3" xfId="2121" xr:uid="{00000000-0005-0000-0000-0000BF070000}"/>
    <cellStyle name="Currency 3 2 2 2 3 3 2" xfId="2122" xr:uid="{00000000-0005-0000-0000-0000C0070000}"/>
    <cellStyle name="Currency 3 2 2 2 3 4" xfId="2123" xr:uid="{00000000-0005-0000-0000-0000C1070000}"/>
    <cellStyle name="Currency 3 2 2 2 4" xfId="2124" xr:uid="{00000000-0005-0000-0000-0000C2070000}"/>
    <cellStyle name="Currency 3 2 2 2 4 2" xfId="2125" xr:uid="{00000000-0005-0000-0000-0000C3070000}"/>
    <cellStyle name="Currency 3 2 2 2 5" xfId="2126" xr:uid="{00000000-0005-0000-0000-0000C4070000}"/>
    <cellStyle name="Currency 3 2 2 2 5 2" xfId="2127" xr:uid="{00000000-0005-0000-0000-0000C5070000}"/>
    <cellStyle name="Currency 3 2 2 2 6" xfId="2128" xr:uid="{00000000-0005-0000-0000-0000C6070000}"/>
    <cellStyle name="Currency 3 2 2 3" xfId="2129" xr:uid="{00000000-0005-0000-0000-0000C7070000}"/>
    <cellStyle name="Currency 3 2 2 3 2" xfId="2130" xr:uid="{00000000-0005-0000-0000-0000C8070000}"/>
    <cellStyle name="Currency 3 2 2 3 2 2" xfId="2131" xr:uid="{00000000-0005-0000-0000-0000C9070000}"/>
    <cellStyle name="Currency 3 2 2 3 2 2 2" xfId="2132" xr:uid="{00000000-0005-0000-0000-0000CA070000}"/>
    <cellStyle name="Currency 3 2 2 3 2 3" xfId="2133" xr:uid="{00000000-0005-0000-0000-0000CB070000}"/>
    <cellStyle name="Currency 3 2 2 3 2 3 2" xfId="2134" xr:uid="{00000000-0005-0000-0000-0000CC070000}"/>
    <cellStyle name="Currency 3 2 2 3 2 4" xfId="2135" xr:uid="{00000000-0005-0000-0000-0000CD070000}"/>
    <cellStyle name="Currency 3 2 2 3 3" xfId="2136" xr:uid="{00000000-0005-0000-0000-0000CE070000}"/>
    <cellStyle name="Currency 3 2 2 3 3 2" xfId="2137" xr:uid="{00000000-0005-0000-0000-0000CF070000}"/>
    <cellStyle name="Currency 3 2 2 3 4" xfId="2138" xr:uid="{00000000-0005-0000-0000-0000D0070000}"/>
    <cellStyle name="Currency 3 2 2 3 4 2" xfId="2139" xr:uid="{00000000-0005-0000-0000-0000D1070000}"/>
    <cellStyle name="Currency 3 2 2 3 5" xfId="2140" xr:uid="{00000000-0005-0000-0000-0000D2070000}"/>
    <cellStyle name="Currency 3 2 2 4" xfId="2141" xr:uid="{00000000-0005-0000-0000-0000D3070000}"/>
    <cellStyle name="Currency 3 2 2 4 2" xfId="2142" xr:uid="{00000000-0005-0000-0000-0000D4070000}"/>
    <cellStyle name="Currency 3 2 2 4 2 2" xfId="2143" xr:uid="{00000000-0005-0000-0000-0000D5070000}"/>
    <cellStyle name="Currency 3 2 2 4 3" xfId="2144" xr:uid="{00000000-0005-0000-0000-0000D6070000}"/>
    <cellStyle name="Currency 3 2 2 4 3 2" xfId="2145" xr:uid="{00000000-0005-0000-0000-0000D7070000}"/>
    <cellStyle name="Currency 3 2 2 4 4" xfId="2146" xr:uid="{00000000-0005-0000-0000-0000D8070000}"/>
    <cellStyle name="Currency 3 2 2 5" xfId="2147" xr:uid="{00000000-0005-0000-0000-0000D9070000}"/>
    <cellStyle name="Currency 3 2 2 5 2" xfId="2148" xr:uid="{00000000-0005-0000-0000-0000DA070000}"/>
    <cellStyle name="Currency 3 2 2 6" xfId="2149" xr:uid="{00000000-0005-0000-0000-0000DB070000}"/>
    <cellStyle name="Currency 3 2 2 6 2" xfId="2150" xr:uid="{00000000-0005-0000-0000-0000DC070000}"/>
    <cellStyle name="Currency 3 2 2 7" xfId="2151" xr:uid="{00000000-0005-0000-0000-0000DD070000}"/>
    <cellStyle name="Currency 3 2 3" xfId="2152" xr:uid="{00000000-0005-0000-0000-0000DE070000}"/>
    <cellStyle name="Currency 3 2 3 2" xfId="2153" xr:uid="{00000000-0005-0000-0000-0000DF070000}"/>
    <cellStyle name="Currency 3 2 3 2 2" xfId="2154" xr:uid="{00000000-0005-0000-0000-0000E0070000}"/>
    <cellStyle name="Currency 3 2 3 2 2 2" xfId="2155" xr:uid="{00000000-0005-0000-0000-0000E1070000}"/>
    <cellStyle name="Currency 3 2 3 2 2 2 2" xfId="2156" xr:uid="{00000000-0005-0000-0000-0000E2070000}"/>
    <cellStyle name="Currency 3 2 3 2 2 3" xfId="2157" xr:uid="{00000000-0005-0000-0000-0000E3070000}"/>
    <cellStyle name="Currency 3 2 3 2 2 3 2" xfId="2158" xr:uid="{00000000-0005-0000-0000-0000E4070000}"/>
    <cellStyle name="Currency 3 2 3 2 2 4" xfId="2159" xr:uid="{00000000-0005-0000-0000-0000E5070000}"/>
    <cellStyle name="Currency 3 2 3 2 3" xfId="2160" xr:uid="{00000000-0005-0000-0000-0000E6070000}"/>
    <cellStyle name="Currency 3 2 3 2 3 2" xfId="2161" xr:uid="{00000000-0005-0000-0000-0000E7070000}"/>
    <cellStyle name="Currency 3 2 3 2 4" xfId="2162" xr:uid="{00000000-0005-0000-0000-0000E8070000}"/>
    <cellStyle name="Currency 3 2 3 2 4 2" xfId="2163" xr:uid="{00000000-0005-0000-0000-0000E9070000}"/>
    <cellStyle name="Currency 3 2 3 2 5" xfId="2164" xr:uid="{00000000-0005-0000-0000-0000EA070000}"/>
    <cellStyle name="Currency 3 2 3 3" xfId="2165" xr:uid="{00000000-0005-0000-0000-0000EB070000}"/>
    <cellStyle name="Currency 3 2 3 3 2" xfId="2166" xr:uid="{00000000-0005-0000-0000-0000EC070000}"/>
    <cellStyle name="Currency 3 2 3 3 2 2" xfId="2167" xr:uid="{00000000-0005-0000-0000-0000ED070000}"/>
    <cellStyle name="Currency 3 2 3 3 3" xfId="2168" xr:uid="{00000000-0005-0000-0000-0000EE070000}"/>
    <cellStyle name="Currency 3 2 3 3 3 2" xfId="2169" xr:uid="{00000000-0005-0000-0000-0000EF070000}"/>
    <cellStyle name="Currency 3 2 3 3 4" xfId="2170" xr:uid="{00000000-0005-0000-0000-0000F0070000}"/>
    <cellStyle name="Currency 3 2 3 4" xfId="2171" xr:uid="{00000000-0005-0000-0000-0000F1070000}"/>
    <cellStyle name="Currency 3 2 3 4 2" xfId="2172" xr:uid="{00000000-0005-0000-0000-0000F2070000}"/>
    <cellStyle name="Currency 3 2 3 5" xfId="2173" xr:uid="{00000000-0005-0000-0000-0000F3070000}"/>
    <cellStyle name="Currency 3 2 3 5 2" xfId="2174" xr:uid="{00000000-0005-0000-0000-0000F4070000}"/>
    <cellStyle name="Currency 3 2 3 6" xfId="2175" xr:uid="{00000000-0005-0000-0000-0000F5070000}"/>
    <cellStyle name="Currency 3 2 4" xfId="2176" xr:uid="{00000000-0005-0000-0000-0000F6070000}"/>
    <cellStyle name="Currency 3 2 4 2" xfId="2177" xr:uid="{00000000-0005-0000-0000-0000F7070000}"/>
    <cellStyle name="Currency 3 2 4 2 2" xfId="2178" xr:uid="{00000000-0005-0000-0000-0000F8070000}"/>
    <cellStyle name="Currency 3 2 4 2 2 2" xfId="2179" xr:uid="{00000000-0005-0000-0000-0000F9070000}"/>
    <cellStyle name="Currency 3 2 4 2 3" xfId="2180" xr:uid="{00000000-0005-0000-0000-0000FA070000}"/>
    <cellStyle name="Currency 3 2 4 2 3 2" xfId="2181" xr:uid="{00000000-0005-0000-0000-0000FB070000}"/>
    <cellStyle name="Currency 3 2 4 2 4" xfId="2182" xr:uid="{00000000-0005-0000-0000-0000FC070000}"/>
    <cellStyle name="Currency 3 2 4 3" xfId="2183" xr:uid="{00000000-0005-0000-0000-0000FD070000}"/>
    <cellStyle name="Currency 3 2 4 3 2" xfId="2184" xr:uid="{00000000-0005-0000-0000-0000FE070000}"/>
    <cellStyle name="Currency 3 2 4 4" xfId="2185" xr:uid="{00000000-0005-0000-0000-0000FF070000}"/>
    <cellStyle name="Currency 3 2 4 4 2" xfId="2186" xr:uid="{00000000-0005-0000-0000-000000080000}"/>
    <cellStyle name="Currency 3 2 4 5" xfId="2187" xr:uid="{00000000-0005-0000-0000-000001080000}"/>
    <cellStyle name="Currency 3 2 5" xfId="2188" xr:uid="{00000000-0005-0000-0000-000002080000}"/>
    <cellStyle name="Currency 3 2 5 2" xfId="2189" xr:uid="{00000000-0005-0000-0000-000003080000}"/>
    <cellStyle name="Currency 3 2 5 2 2" xfId="2190" xr:uid="{00000000-0005-0000-0000-000004080000}"/>
    <cellStyle name="Currency 3 2 5 3" xfId="2191" xr:uid="{00000000-0005-0000-0000-000005080000}"/>
    <cellStyle name="Currency 3 2 5 3 2" xfId="2192" xr:uid="{00000000-0005-0000-0000-000006080000}"/>
    <cellStyle name="Currency 3 2 5 4" xfId="2193" xr:uid="{00000000-0005-0000-0000-000007080000}"/>
    <cellStyle name="Currency 3 2 6" xfId="2194" xr:uid="{00000000-0005-0000-0000-000008080000}"/>
    <cellStyle name="Currency 3 2 6 2" xfId="2195" xr:uid="{00000000-0005-0000-0000-000009080000}"/>
    <cellStyle name="Currency 3 2 7" xfId="2196" xr:uid="{00000000-0005-0000-0000-00000A080000}"/>
    <cellStyle name="Currency 3 2 7 2" xfId="2197" xr:uid="{00000000-0005-0000-0000-00000B080000}"/>
    <cellStyle name="Currency 3 2 8" xfId="2198" xr:uid="{00000000-0005-0000-0000-00000C080000}"/>
    <cellStyle name="Currency 3 3" xfId="2199" xr:uid="{00000000-0005-0000-0000-00000D080000}"/>
    <cellStyle name="Currency 3 3 2" xfId="2200" xr:uid="{00000000-0005-0000-0000-00000E080000}"/>
    <cellStyle name="Currency 3 3 2 2" xfId="2201" xr:uid="{00000000-0005-0000-0000-00000F080000}"/>
    <cellStyle name="Currency 3 3 2 2 2" xfId="2202" xr:uid="{00000000-0005-0000-0000-000010080000}"/>
    <cellStyle name="Currency 3 3 2 2 2 2" xfId="2203" xr:uid="{00000000-0005-0000-0000-000011080000}"/>
    <cellStyle name="Currency 3 3 2 2 2 2 2" xfId="2204" xr:uid="{00000000-0005-0000-0000-000012080000}"/>
    <cellStyle name="Currency 3 3 2 2 2 3" xfId="2205" xr:uid="{00000000-0005-0000-0000-000013080000}"/>
    <cellStyle name="Currency 3 3 2 2 2 3 2" xfId="2206" xr:uid="{00000000-0005-0000-0000-000014080000}"/>
    <cellStyle name="Currency 3 3 2 2 2 4" xfId="2207" xr:uid="{00000000-0005-0000-0000-000015080000}"/>
    <cellStyle name="Currency 3 3 2 2 3" xfId="2208" xr:uid="{00000000-0005-0000-0000-000016080000}"/>
    <cellStyle name="Currency 3 3 2 2 3 2" xfId="2209" xr:uid="{00000000-0005-0000-0000-000017080000}"/>
    <cellStyle name="Currency 3 3 2 2 4" xfId="2210" xr:uid="{00000000-0005-0000-0000-000018080000}"/>
    <cellStyle name="Currency 3 3 2 2 4 2" xfId="2211" xr:uid="{00000000-0005-0000-0000-000019080000}"/>
    <cellStyle name="Currency 3 3 2 2 5" xfId="2212" xr:uid="{00000000-0005-0000-0000-00001A080000}"/>
    <cellStyle name="Currency 3 3 2 3" xfId="2213" xr:uid="{00000000-0005-0000-0000-00001B080000}"/>
    <cellStyle name="Currency 3 3 2 3 2" xfId="2214" xr:uid="{00000000-0005-0000-0000-00001C080000}"/>
    <cellStyle name="Currency 3 3 2 3 2 2" xfId="2215" xr:uid="{00000000-0005-0000-0000-00001D080000}"/>
    <cellStyle name="Currency 3 3 2 3 3" xfId="2216" xr:uid="{00000000-0005-0000-0000-00001E080000}"/>
    <cellStyle name="Currency 3 3 2 3 3 2" xfId="2217" xr:uid="{00000000-0005-0000-0000-00001F080000}"/>
    <cellStyle name="Currency 3 3 2 3 4" xfId="2218" xr:uid="{00000000-0005-0000-0000-000020080000}"/>
    <cellStyle name="Currency 3 3 2 4" xfId="2219" xr:uid="{00000000-0005-0000-0000-000021080000}"/>
    <cellStyle name="Currency 3 3 2 4 2" xfId="2220" xr:uid="{00000000-0005-0000-0000-000022080000}"/>
    <cellStyle name="Currency 3 3 2 5" xfId="2221" xr:uid="{00000000-0005-0000-0000-000023080000}"/>
    <cellStyle name="Currency 3 3 2 5 2" xfId="2222" xr:uid="{00000000-0005-0000-0000-000024080000}"/>
    <cellStyle name="Currency 3 3 2 6" xfId="2223" xr:uid="{00000000-0005-0000-0000-000025080000}"/>
    <cellStyle name="Currency 3 3 3" xfId="2224" xr:uid="{00000000-0005-0000-0000-000026080000}"/>
    <cellStyle name="Currency 3 3 3 2" xfId="2225" xr:uid="{00000000-0005-0000-0000-000027080000}"/>
    <cellStyle name="Currency 3 3 3 2 2" xfId="2226" xr:uid="{00000000-0005-0000-0000-000028080000}"/>
    <cellStyle name="Currency 3 3 3 2 2 2" xfId="2227" xr:uid="{00000000-0005-0000-0000-000029080000}"/>
    <cellStyle name="Currency 3 3 3 2 3" xfId="2228" xr:uid="{00000000-0005-0000-0000-00002A080000}"/>
    <cellStyle name="Currency 3 3 3 2 3 2" xfId="2229" xr:uid="{00000000-0005-0000-0000-00002B080000}"/>
    <cellStyle name="Currency 3 3 3 2 4" xfId="2230" xr:uid="{00000000-0005-0000-0000-00002C080000}"/>
    <cellStyle name="Currency 3 3 3 3" xfId="2231" xr:uid="{00000000-0005-0000-0000-00002D080000}"/>
    <cellStyle name="Currency 3 3 3 3 2" xfId="2232" xr:uid="{00000000-0005-0000-0000-00002E080000}"/>
    <cellStyle name="Currency 3 3 3 4" xfId="2233" xr:uid="{00000000-0005-0000-0000-00002F080000}"/>
    <cellStyle name="Currency 3 3 3 4 2" xfId="2234" xr:uid="{00000000-0005-0000-0000-000030080000}"/>
    <cellStyle name="Currency 3 3 3 5" xfId="2235" xr:uid="{00000000-0005-0000-0000-000031080000}"/>
    <cellStyle name="Currency 3 3 4" xfId="2236" xr:uid="{00000000-0005-0000-0000-000032080000}"/>
    <cellStyle name="Currency 3 3 4 2" xfId="2237" xr:uid="{00000000-0005-0000-0000-000033080000}"/>
    <cellStyle name="Currency 3 3 4 2 2" xfId="2238" xr:uid="{00000000-0005-0000-0000-000034080000}"/>
    <cellStyle name="Currency 3 3 4 3" xfId="2239" xr:uid="{00000000-0005-0000-0000-000035080000}"/>
    <cellStyle name="Currency 3 3 4 3 2" xfId="2240" xr:uid="{00000000-0005-0000-0000-000036080000}"/>
    <cellStyle name="Currency 3 3 4 4" xfId="2241" xr:uid="{00000000-0005-0000-0000-000037080000}"/>
    <cellStyle name="Currency 3 3 5" xfId="2242" xr:uid="{00000000-0005-0000-0000-000038080000}"/>
    <cellStyle name="Currency 3 3 5 2" xfId="2243" xr:uid="{00000000-0005-0000-0000-000039080000}"/>
    <cellStyle name="Currency 3 3 6" xfId="2244" xr:uid="{00000000-0005-0000-0000-00003A080000}"/>
    <cellStyle name="Currency 3 3 6 2" xfId="2245" xr:uid="{00000000-0005-0000-0000-00003B080000}"/>
    <cellStyle name="Currency 3 3 7" xfId="2246" xr:uid="{00000000-0005-0000-0000-00003C080000}"/>
    <cellStyle name="Currency 3 4" xfId="2247" xr:uid="{00000000-0005-0000-0000-00003D080000}"/>
    <cellStyle name="Currency 3 4 2" xfId="2248" xr:uid="{00000000-0005-0000-0000-00003E080000}"/>
    <cellStyle name="Currency 3 4 2 2" xfId="2249" xr:uid="{00000000-0005-0000-0000-00003F080000}"/>
    <cellStyle name="Currency 3 4 2 2 2" xfId="2250" xr:uid="{00000000-0005-0000-0000-000040080000}"/>
    <cellStyle name="Currency 3 4 2 2 2 2" xfId="2251" xr:uid="{00000000-0005-0000-0000-000041080000}"/>
    <cellStyle name="Currency 3 4 2 2 2 2 2" xfId="2252" xr:uid="{00000000-0005-0000-0000-000042080000}"/>
    <cellStyle name="Currency 3 4 2 2 2 3" xfId="2253" xr:uid="{00000000-0005-0000-0000-000043080000}"/>
    <cellStyle name="Currency 3 4 2 2 2 3 2" xfId="2254" xr:uid="{00000000-0005-0000-0000-000044080000}"/>
    <cellStyle name="Currency 3 4 2 2 2 4" xfId="2255" xr:uid="{00000000-0005-0000-0000-000045080000}"/>
    <cellStyle name="Currency 3 4 2 2 3" xfId="2256" xr:uid="{00000000-0005-0000-0000-000046080000}"/>
    <cellStyle name="Currency 3 4 2 2 3 2" xfId="2257" xr:uid="{00000000-0005-0000-0000-000047080000}"/>
    <cellStyle name="Currency 3 4 2 2 4" xfId="2258" xr:uid="{00000000-0005-0000-0000-000048080000}"/>
    <cellStyle name="Currency 3 4 2 2 4 2" xfId="2259" xr:uid="{00000000-0005-0000-0000-000049080000}"/>
    <cellStyle name="Currency 3 4 2 2 5" xfId="2260" xr:uid="{00000000-0005-0000-0000-00004A080000}"/>
    <cellStyle name="Currency 3 4 2 3" xfId="2261" xr:uid="{00000000-0005-0000-0000-00004B080000}"/>
    <cellStyle name="Currency 3 4 2 3 2" xfId="2262" xr:uid="{00000000-0005-0000-0000-00004C080000}"/>
    <cellStyle name="Currency 3 4 2 3 2 2" xfId="2263" xr:uid="{00000000-0005-0000-0000-00004D080000}"/>
    <cellStyle name="Currency 3 4 2 3 3" xfId="2264" xr:uid="{00000000-0005-0000-0000-00004E080000}"/>
    <cellStyle name="Currency 3 4 2 3 3 2" xfId="2265" xr:uid="{00000000-0005-0000-0000-00004F080000}"/>
    <cellStyle name="Currency 3 4 2 3 4" xfId="2266" xr:uid="{00000000-0005-0000-0000-000050080000}"/>
    <cellStyle name="Currency 3 4 2 4" xfId="2267" xr:uid="{00000000-0005-0000-0000-000051080000}"/>
    <cellStyle name="Currency 3 4 2 4 2" xfId="2268" xr:uid="{00000000-0005-0000-0000-000052080000}"/>
    <cellStyle name="Currency 3 4 2 5" xfId="2269" xr:uid="{00000000-0005-0000-0000-000053080000}"/>
    <cellStyle name="Currency 3 4 2 5 2" xfId="2270" xr:uid="{00000000-0005-0000-0000-000054080000}"/>
    <cellStyle name="Currency 3 4 2 6" xfId="2271" xr:uid="{00000000-0005-0000-0000-000055080000}"/>
    <cellStyle name="Currency 3 4 3" xfId="2272" xr:uid="{00000000-0005-0000-0000-000056080000}"/>
    <cellStyle name="Currency 3 4 3 2" xfId="2273" xr:uid="{00000000-0005-0000-0000-000057080000}"/>
    <cellStyle name="Currency 3 4 3 2 2" xfId="2274" xr:uid="{00000000-0005-0000-0000-000058080000}"/>
    <cellStyle name="Currency 3 4 3 2 2 2" xfId="2275" xr:uid="{00000000-0005-0000-0000-000059080000}"/>
    <cellStyle name="Currency 3 4 3 2 3" xfId="2276" xr:uid="{00000000-0005-0000-0000-00005A080000}"/>
    <cellStyle name="Currency 3 4 3 2 3 2" xfId="2277" xr:uid="{00000000-0005-0000-0000-00005B080000}"/>
    <cellStyle name="Currency 3 4 3 2 4" xfId="2278" xr:uid="{00000000-0005-0000-0000-00005C080000}"/>
    <cellStyle name="Currency 3 4 3 3" xfId="2279" xr:uid="{00000000-0005-0000-0000-00005D080000}"/>
    <cellStyle name="Currency 3 4 3 3 2" xfId="2280" xr:uid="{00000000-0005-0000-0000-00005E080000}"/>
    <cellStyle name="Currency 3 4 3 4" xfId="2281" xr:uid="{00000000-0005-0000-0000-00005F080000}"/>
    <cellStyle name="Currency 3 4 3 4 2" xfId="2282" xr:uid="{00000000-0005-0000-0000-000060080000}"/>
    <cellStyle name="Currency 3 4 3 5" xfId="2283" xr:uid="{00000000-0005-0000-0000-000061080000}"/>
    <cellStyle name="Currency 3 4 4" xfId="2284" xr:uid="{00000000-0005-0000-0000-000062080000}"/>
    <cellStyle name="Currency 3 4 4 2" xfId="2285" xr:uid="{00000000-0005-0000-0000-000063080000}"/>
    <cellStyle name="Currency 3 4 4 2 2" xfId="2286" xr:uid="{00000000-0005-0000-0000-000064080000}"/>
    <cellStyle name="Currency 3 4 4 3" xfId="2287" xr:uid="{00000000-0005-0000-0000-000065080000}"/>
    <cellStyle name="Currency 3 4 4 3 2" xfId="2288" xr:uid="{00000000-0005-0000-0000-000066080000}"/>
    <cellStyle name="Currency 3 4 4 4" xfId="2289" xr:uid="{00000000-0005-0000-0000-000067080000}"/>
    <cellStyle name="Currency 3 4 5" xfId="2290" xr:uid="{00000000-0005-0000-0000-000068080000}"/>
    <cellStyle name="Currency 3 4 5 2" xfId="2291" xr:uid="{00000000-0005-0000-0000-000069080000}"/>
    <cellStyle name="Currency 3 4 6" xfId="2292" xr:uid="{00000000-0005-0000-0000-00006A080000}"/>
    <cellStyle name="Currency 3 4 6 2" xfId="2293" xr:uid="{00000000-0005-0000-0000-00006B080000}"/>
    <cellStyle name="Currency 3 4 7" xfId="2294" xr:uid="{00000000-0005-0000-0000-00006C080000}"/>
    <cellStyle name="Currency 3 5" xfId="2295" xr:uid="{00000000-0005-0000-0000-00006D080000}"/>
    <cellStyle name="Currency 3 5 2" xfId="2296" xr:uid="{00000000-0005-0000-0000-00006E080000}"/>
    <cellStyle name="Currency 3 5 2 2" xfId="2297" xr:uid="{00000000-0005-0000-0000-00006F080000}"/>
    <cellStyle name="Currency 3 5 2 2 2" xfId="2298" xr:uid="{00000000-0005-0000-0000-000070080000}"/>
    <cellStyle name="Currency 3 5 2 2 2 2" xfId="2299" xr:uid="{00000000-0005-0000-0000-000071080000}"/>
    <cellStyle name="Currency 3 5 2 2 3" xfId="2300" xr:uid="{00000000-0005-0000-0000-000072080000}"/>
    <cellStyle name="Currency 3 5 2 2 3 2" xfId="2301" xr:uid="{00000000-0005-0000-0000-000073080000}"/>
    <cellStyle name="Currency 3 5 2 2 4" xfId="2302" xr:uid="{00000000-0005-0000-0000-000074080000}"/>
    <cellStyle name="Currency 3 5 2 3" xfId="2303" xr:uid="{00000000-0005-0000-0000-000075080000}"/>
    <cellStyle name="Currency 3 5 2 3 2" xfId="2304" xr:uid="{00000000-0005-0000-0000-000076080000}"/>
    <cellStyle name="Currency 3 5 2 4" xfId="2305" xr:uid="{00000000-0005-0000-0000-000077080000}"/>
    <cellStyle name="Currency 3 5 2 4 2" xfId="2306" xr:uid="{00000000-0005-0000-0000-000078080000}"/>
    <cellStyle name="Currency 3 5 2 5" xfId="2307" xr:uid="{00000000-0005-0000-0000-000079080000}"/>
    <cellStyle name="Currency 3 5 3" xfId="2308" xr:uid="{00000000-0005-0000-0000-00007A080000}"/>
    <cellStyle name="Currency 3 5 3 2" xfId="2309" xr:uid="{00000000-0005-0000-0000-00007B080000}"/>
    <cellStyle name="Currency 3 5 3 2 2" xfId="2310" xr:uid="{00000000-0005-0000-0000-00007C080000}"/>
    <cellStyle name="Currency 3 5 3 3" xfId="2311" xr:uid="{00000000-0005-0000-0000-00007D080000}"/>
    <cellStyle name="Currency 3 5 3 3 2" xfId="2312" xr:uid="{00000000-0005-0000-0000-00007E080000}"/>
    <cellStyle name="Currency 3 5 3 4" xfId="2313" xr:uid="{00000000-0005-0000-0000-00007F080000}"/>
    <cellStyle name="Currency 3 5 4" xfId="2314" xr:uid="{00000000-0005-0000-0000-000080080000}"/>
    <cellStyle name="Currency 3 5 4 2" xfId="2315" xr:uid="{00000000-0005-0000-0000-000081080000}"/>
    <cellStyle name="Currency 3 5 5" xfId="2316" xr:uid="{00000000-0005-0000-0000-000082080000}"/>
    <cellStyle name="Currency 3 5 5 2" xfId="2317" xr:uid="{00000000-0005-0000-0000-000083080000}"/>
    <cellStyle name="Currency 3 5 6" xfId="2318" xr:uid="{00000000-0005-0000-0000-000084080000}"/>
    <cellStyle name="Currency 3 6" xfId="2319" xr:uid="{00000000-0005-0000-0000-000085080000}"/>
    <cellStyle name="Currency 3 6 2" xfId="2320" xr:uid="{00000000-0005-0000-0000-000086080000}"/>
    <cellStyle name="Currency 3 6 2 2" xfId="2321" xr:uid="{00000000-0005-0000-0000-000087080000}"/>
    <cellStyle name="Currency 3 6 2 2 2" xfId="2322" xr:uid="{00000000-0005-0000-0000-000088080000}"/>
    <cellStyle name="Currency 3 6 2 3" xfId="2323" xr:uid="{00000000-0005-0000-0000-000089080000}"/>
    <cellStyle name="Currency 3 6 2 3 2" xfId="2324" xr:uid="{00000000-0005-0000-0000-00008A080000}"/>
    <cellStyle name="Currency 3 6 2 4" xfId="2325" xr:uid="{00000000-0005-0000-0000-00008B080000}"/>
    <cellStyle name="Currency 3 6 3" xfId="2326" xr:uid="{00000000-0005-0000-0000-00008C080000}"/>
    <cellStyle name="Currency 3 6 3 2" xfId="2327" xr:uid="{00000000-0005-0000-0000-00008D080000}"/>
    <cellStyle name="Currency 3 6 4" xfId="2328" xr:uid="{00000000-0005-0000-0000-00008E080000}"/>
    <cellStyle name="Currency 3 6 4 2" xfId="2329" xr:uid="{00000000-0005-0000-0000-00008F080000}"/>
    <cellStyle name="Currency 3 6 5" xfId="2330" xr:uid="{00000000-0005-0000-0000-000090080000}"/>
    <cellStyle name="Currency 3 7" xfId="2331" xr:uid="{00000000-0005-0000-0000-000091080000}"/>
    <cellStyle name="Currency 3 7 2" xfId="2332" xr:uid="{00000000-0005-0000-0000-000092080000}"/>
    <cellStyle name="Currency 3 7 2 2" xfId="2333" xr:uid="{00000000-0005-0000-0000-000093080000}"/>
    <cellStyle name="Currency 3 7 3" xfId="2334" xr:uid="{00000000-0005-0000-0000-000094080000}"/>
    <cellStyle name="Currency 3 7 3 2" xfId="2335" xr:uid="{00000000-0005-0000-0000-000095080000}"/>
    <cellStyle name="Currency 3 7 4" xfId="2336" xr:uid="{00000000-0005-0000-0000-000096080000}"/>
    <cellStyle name="Currency 3 8" xfId="2337" xr:uid="{00000000-0005-0000-0000-000097080000}"/>
    <cellStyle name="Currency 3 8 2" xfId="2338" xr:uid="{00000000-0005-0000-0000-000098080000}"/>
    <cellStyle name="Currency 3 9" xfId="2339" xr:uid="{00000000-0005-0000-0000-000099080000}"/>
    <cellStyle name="Currency 3 9 2" xfId="2340" xr:uid="{00000000-0005-0000-0000-00009A080000}"/>
    <cellStyle name="Currency 4" xfId="54" xr:uid="{00000000-0005-0000-0000-00009B080000}"/>
    <cellStyle name="Currency 4 10" xfId="2341" xr:uid="{00000000-0005-0000-0000-00009C080000}"/>
    <cellStyle name="Currency 4 2" xfId="2342" xr:uid="{00000000-0005-0000-0000-00009D080000}"/>
    <cellStyle name="Currency 4 2 2" xfId="2343" xr:uid="{00000000-0005-0000-0000-00009E080000}"/>
    <cellStyle name="Currency 4 2 2 2" xfId="2344" xr:uid="{00000000-0005-0000-0000-00009F080000}"/>
    <cellStyle name="Currency 4 2 2 2 2" xfId="2345" xr:uid="{00000000-0005-0000-0000-0000A0080000}"/>
    <cellStyle name="Currency 4 2 2 2 2 2" xfId="2346" xr:uid="{00000000-0005-0000-0000-0000A1080000}"/>
    <cellStyle name="Currency 4 2 2 2 2 2 2" xfId="2347" xr:uid="{00000000-0005-0000-0000-0000A2080000}"/>
    <cellStyle name="Currency 4 2 2 2 2 2 2 2" xfId="2348" xr:uid="{00000000-0005-0000-0000-0000A3080000}"/>
    <cellStyle name="Currency 4 2 2 2 2 2 3" xfId="2349" xr:uid="{00000000-0005-0000-0000-0000A4080000}"/>
    <cellStyle name="Currency 4 2 2 2 2 2 3 2" xfId="2350" xr:uid="{00000000-0005-0000-0000-0000A5080000}"/>
    <cellStyle name="Currency 4 2 2 2 2 2 4" xfId="2351" xr:uid="{00000000-0005-0000-0000-0000A6080000}"/>
    <cellStyle name="Currency 4 2 2 2 2 3" xfId="2352" xr:uid="{00000000-0005-0000-0000-0000A7080000}"/>
    <cellStyle name="Currency 4 2 2 2 2 3 2" xfId="2353" xr:uid="{00000000-0005-0000-0000-0000A8080000}"/>
    <cellStyle name="Currency 4 2 2 2 2 4" xfId="2354" xr:uid="{00000000-0005-0000-0000-0000A9080000}"/>
    <cellStyle name="Currency 4 2 2 2 2 4 2" xfId="2355" xr:uid="{00000000-0005-0000-0000-0000AA080000}"/>
    <cellStyle name="Currency 4 2 2 2 2 5" xfId="2356" xr:uid="{00000000-0005-0000-0000-0000AB080000}"/>
    <cellStyle name="Currency 4 2 2 2 3" xfId="2357" xr:uid="{00000000-0005-0000-0000-0000AC080000}"/>
    <cellStyle name="Currency 4 2 2 2 3 2" xfId="2358" xr:uid="{00000000-0005-0000-0000-0000AD080000}"/>
    <cellStyle name="Currency 4 2 2 2 3 2 2" xfId="2359" xr:uid="{00000000-0005-0000-0000-0000AE080000}"/>
    <cellStyle name="Currency 4 2 2 2 3 3" xfId="2360" xr:uid="{00000000-0005-0000-0000-0000AF080000}"/>
    <cellStyle name="Currency 4 2 2 2 3 3 2" xfId="2361" xr:uid="{00000000-0005-0000-0000-0000B0080000}"/>
    <cellStyle name="Currency 4 2 2 2 3 4" xfId="2362" xr:uid="{00000000-0005-0000-0000-0000B1080000}"/>
    <cellStyle name="Currency 4 2 2 2 4" xfId="2363" xr:uid="{00000000-0005-0000-0000-0000B2080000}"/>
    <cellStyle name="Currency 4 2 2 2 4 2" xfId="2364" xr:uid="{00000000-0005-0000-0000-0000B3080000}"/>
    <cellStyle name="Currency 4 2 2 2 5" xfId="2365" xr:uid="{00000000-0005-0000-0000-0000B4080000}"/>
    <cellStyle name="Currency 4 2 2 2 5 2" xfId="2366" xr:uid="{00000000-0005-0000-0000-0000B5080000}"/>
    <cellStyle name="Currency 4 2 2 2 6" xfId="2367" xr:uid="{00000000-0005-0000-0000-0000B6080000}"/>
    <cellStyle name="Currency 4 2 2 3" xfId="2368" xr:uid="{00000000-0005-0000-0000-0000B7080000}"/>
    <cellStyle name="Currency 4 2 2 3 2" xfId="2369" xr:uid="{00000000-0005-0000-0000-0000B8080000}"/>
    <cellStyle name="Currency 4 2 2 3 2 2" xfId="2370" xr:uid="{00000000-0005-0000-0000-0000B9080000}"/>
    <cellStyle name="Currency 4 2 2 3 2 2 2" xfId="2371" xr:uid="{00000000-0005-0000-0000-0000BA080000}"/>
    <cellStyle name="Currency 4 2 2 3 2 3" xfId="2372" xr:uid="{00000000-0005-0000-0000-0000BB080000}"/>
    <cellStyle name="Currency 4 2 2 3 2 3 2" xfId="2373" xr:uid="{00000000-0005-0000-0000-0000BC080000}"/>
    <cellStyle name="Currency 4 2 2 3 2 4" xfId="2374" xr:uid="{00000000-0005-0000-0000-0000BD080000}"/>
    <cellStyle name="Currency 4 2 2 3 3" xfId="2375" xr:uid="{00000000-0005-0000-0000-0000BE080000}"/>
    <cellStyle name="Currency 4 2 2 3 3 2" xfId="2376" xr:uid="{00000000-0005-0000-0000-0000BF080000}"/>
    <cellStyle name="Currency 4 2 2 3 4" xfId="2377" xr:uid="{00000000-0005-0000-0000-0000C0080000}"/>
    <cellStyle name="Currency 4 2 2 3 4 2" xfId="2378" xr:uid="{00000000-0005-0000-0000-0000C1080000}"/>
    <cellStyle name="Currency 4 2 2 3 5" xfId="2379" xr:uid="{00000000-0005-0000-0000-0000C2080000}"/>
    <cellStyle name="Currency 4 2 2 4" xfId="2380" xr:uid="{00000000-0005-0000-0000-0000C3080000}"/>
    <cellStyle name="Currency 4 2 2 4 2" xfId="2381" xr:uid="{00000000-0005-0000-0000-0000C4080000}"/>
    <cellStyle name="Currency 4 2 2 4 2 2" xfId="2382" xr:uid="{00000000-0005-0000-0000-0000C5080000}"/>
    <cellStyle name="Currency 4 2 2 4 3" xfId="2383" xr:uid="{00000000-0005-0000-0000-0000C6080000}"/>
    <cellStyle name="Currency 4 2 2 4 3 2" xfId="2384" xr:uid="{00000000-0005-0000-0000-0000C7080000}"/>
    <cellStyle name="Currency 4 2 2 4 4" xfId="2385" xr:uid="{00000000-0005-0000-0000-0000C8080000}"/>
    <cellStyle name="Currency 4 2 2 5" xfId="2386" xr:uid="{00000000-0005-0000-0000-0000C9080000}"/>
    <cellStyle name="Currency 4 2 2 5 2" xfId="2387" xr:uid="{00000000-0005-0000-0000-0000CA080000}"/>
    <cellStyle name="Currency 4 2 2 6" xfId="2388" xr:uid="{00000000-0005-0000-0000-0000CB080000}"/>
    <cellStyle name="Currency 4 2 2 6 2" xfId="2389" xr:uid="{00000000-0005-0000-0000-0000CC080000}"/>
    <cellStyle name="Currency 4 2 2 7" xfId="2390" xr:uid="{00000000-0005-0000-0000-0000CD080000}"/>
    <cellStyle name="Currency 4 2 3" xfId="2391" xr:uid="{00000000-0005-0000-0000-0000CE080000}"/>
    <cellStyle name="Currency 4 2 3 2" xfId="2392" xr:uid="{00000000-0005-0000-0000-0000CF080000}"/>
    <cellStyle name="Currency 4 2 3 2 2" xfId="2393" xr:uid="{00000000-0005-0000-0000-0000D0080000}"/>
    <cellStyle name="Currency 4 2 3 2 2 2" xfId="2394" xr:uid="{00000000-0005-0000-0000-0000D1080000}"/>
    <cellStyle name="Currency 4 2 3 2 2 2 2" xfId="2395" xr:uid="{00000000-0005-0000-0000-0000D2080000}"/>
    <cellStyle name="Currency 4 2 3 2 2 3" xfId="2396" xr:uid="{00000000-0005-0000-0000-0000D3080000}"/>
    <cellStyle name="Currency 4 2 3 2 2 3 2" xfId="2397" xr:uid="{00000000-0005-0000-0000-0000D4080000}"/>
    <cellStyle name="Currency 4 2 3 2 2 4" xfId="2398" xr:uid="{00000000-0005-0000-0000-0000D5080000}"/>
    <cellStyle name="Currency 4 2 3 2 3" xfId="2399" xr:uid="{00000000-0005-0000-0000-0000D6080000}"/>
    <cellStyle name="Currency 4 2 3 2 3 2" xfId="2400" xr:uid="{00000000-0005-0000-0000-0000D7080000}"/>
    <cellStyle name="Currency 4 2 3 2 4" xfId="2401" xr:uid="{00000000-0005-0000-0000-0000D8080000}"/>
    <cellStyle name="Currency 4 2 3 2 4 2" xfId="2402" xr:uid="{00000000-0005-0000-0000-0000D9080000}"/>
    <cellStyle name="Currency 4 2 3 2 5" xfId="2403" xr:uid="{00000000-0005-0000-0000-0000DA080000}"/>
    <cellStyle name="Currency 4 2 3 3" xfId="2404" xr:uid="{00000000-0005-0000-0000-0000DB080000}"/>
    <cellStyle name="Currency 4 2 3 3 2" xfId="2405" xr:uid="{00000000-0005-0000-0000-0000DC080000}"/>
    <cellStyle name="Currency 4 2 3 3 2 2" xfId="2406" xr:uid="{00000000-0005-0000-0000-0000DD080000}"/>
    <cellStyle name="Currency 4 2 3 3 3" xfId="2407" xr:uid="{00000000-0005-0000-0000-0000DE080000}"/>
    <cellStyle name="Currency 4 2 3 3 3 2" xfId="2408" xr:uid="{00000000-0005-0000-0000-0000DF080000}"/>
    <cellStyle name="Currency 4 2 3 3 4" xfId="2409" xr:uid="{00000000-0005-0000-0000-0000E0080000}"/>
    <cellStyle name="Currency 4 2 3 4" xfId="2410" xr:uid="{00000000-0005-0000-0000-0000E1080000}"/>
    <cellStyle name="Currency 4 2 3 4 2" xfId="2411" xr:uid="{00000000-0005-0000-0000-0000E2080000}"/>
    <cellStyle name="Currency 4 2 3 5" xfId="2412" xr:uid="{00000000-0005-0000-0000-0000E3080000}"/>
    <cellStyle name="Currency 4 2 3 5 2" xfId="2413" xr:uid="{00000000-0005-0000-0000-0000E4080000}"/>
    <cellStyle name="Currency 4 2 3 6" xfId="2414" xr:uid="{00000000-0005-0000-0000-0000E5080000}"/>
    <cellStyle name="Currency 4 2 4" xfId="2415" xr:uid="{00000000-0005-0000-0000-0000E6080000}"/>
    <cellStyle name="Currency 4 2 4 2" xfId="2416" xr:uid="{00000000-0005-0000-0000-0000E7080000}"/>
    <cellStyle name="Currency 4 2 4 2 2" xfId="2417" xr:uid="{00000000-0005-0000-0000-0000E8080000}"/>
    <cellStyle name="Currency 4 2 4 2 2 2" xfId="2418" xr:uid="{00000000-0005-0000-0000-0000E9080000}"/>
    <cellStyle name="Currency 4 2 4 2 3" xfId="2419" xr:uid="{00000000-0005-0000-0000-0000EA080000}"/>
    <cellStyle name="Currency 4 2 4 2 3 2" xfId="2420" xr:uid="{00000000-0005-0000-0000-0000EB080000}"/>
    <cellStyle name="Currency 4 2 4 2 4" xfId="2421" xr:uid="{00000000-0005-0000-0000-0000EC080000}"/>
    <cellStyle name="Currency 4 2 4 3" xfId="2422" xr:uid="{00000000-0005-0000-0000-0000ED080000}"/>
    <cellStyle name="Currency 4 2 4 3 2" xfId="2423" xr:uid="{00000000-0005-0000-0000-0000EE080000}"/>
    <cellStyle name="Currency 4 2 4 4" xfId="2424" xr:uid="{00000000-0005-0000-0000-0000EF080000}"/>
    <cellStyle name="Currency 4 2 4 4 2" xfId="2425" xr:uid="{00000000-0005-0000-0000-0000F0080000}"/>
    <cellStyle name="Currency 4 2 4 5" xfId="2426" xr:uid="{00000000-0005-0000-0000-0000F1080000}"/>
    <cellStyle name="Currency 4 2 5" xfId="2427" xr:uid="{00000000-0005-0000-0000-0000F2080000}"/>
    <cellStyle name="Currency 4 2 5 2" xfId="2428" xr:uid="{00000000-0005-0000-0000-0000F3080000}"/>
    <cellStyle name="Currency 4 2 5 2 2" xfId="2429" xr:uid="{00000000-0005-0000-0000-0000F4080000}"/>
    <cellStyle name="Currency 4 2 5 3" xfId="2430" xr:uid="{00000000-0005-0000-0000-0000F5080000}"/>
    <cellStyle name="Currency 4 2 5 3 2" xfId="2431" xr:uid="{00000000-0005-0000-0000-0000F6080000}"/>
    <cellStyle name="Currency 4 2 5 4" xfId="2432" xr:uid="{00000000-0005-0000-0000-0000F7080000}"/>
    <cellStyle name="Currency 4 2 6" xfId="2433" xr:uid="{00000000-0005-0000-0000-0000F8080000}"/>
    <cellStyle name="Currency 4 2 6 2" xfId="2434" xr:uid="{00000000-0005-0000-0000-0000F9080000}"/>
    <cellStyle name="Currency 4 2 7" xfId="2435" xr:uid="{00000000-0005-0000-0000-0000FA080000}"/>
    <cellStyle name="Currency 4 2 7 2" xfId="2436" xr:uid="{00000000-0005-0000-0000-0000FB080000}"/>
    <cellStyle name="Currency 4 2 8" xfId="2437" xr:uid="{00000000-0005-0000-0000-0000FC080000}"/>
    <cellStyle name="Currency 4 3" xfId="2438" xr:uid="{00000000-0005-0000-0000-0000FD080000}"/>
    <cellStyle name="Currency 4 3 2" xfId="2439" xr:uid="{00000000-0005-0000-0000-0000FE080000}"/>
    <cellStyle name="Currency 4 3 2 2" xfId="2440" xr:uid="{00000000-0005-0000-0000-0000FF080000}"/>
    <cellStyle name="Currency 4 3 2 2 2" xfId="2441" xr:uid="{00000000-0005-0000-0000-000000090000}"/>
    <cellStyle name="Currency 4 3 2 2 2 2" xfId="2442" xr:uid="{00000000-0005-0000-0000-000001090000}"/>
    <cellStyle name="Currency 4 3 2 2 2 2 2" xfId="2443" xr:uid="{00000000-0005-0000-0000-000002090000}"/>
    <cellStyle name="Currency 4 3 2 2 2 3" xfId="2444" xr:uid="{00000000-0005-0000-0000-000003090000}"/>
    <cellStyle name="Currency 4 3 2 2 2 3 2" xfId="2445" xr:uid="{00000000-0005-0000-0000-000004090000}"/>
    <cellStyle name="Currency 4 3 2 2 2 4" xfId="2446" xr:uid="{00000000-0005-0000-0000-000005090000}"/>
    <cellStyle name="Currency 4 3 2 2 3" xfId="2447" xr:uid="{00000000-0005-0000-0000-000006090000}"/>
    <cellStyle name="Currency 4 3 2 2 3 2" xfId="2448" xr:uid="{00000000-0005-0000-0000-000007090000}"/>
    <cellStyle name="Currency 4 3 2 2 4" xfId="2449" xr:uid="{00000000-0005-0000-0000-000008090000}"/>
    <cellStyle name="Currency 4 3 2 2 4 2" xfId="2450" xr:uid="{00000000-0005-0000-0000-000009090000}"/>
    <cellStyle name="Currency 4 3 2 2 5" xfId="2451" xr:uid="{00000000-0005-0000-0000-00000A090000}"/>
    <cellStyle name="Currency 4 3 2 3" xfId="2452" xr:uid="{00000000-0005-0000-0000-00000B090000}"/>
    <cellStyle name="Currency 4 3 2 3 2" xfId="2453" xr:uid="{00000000-0005-0000-0000-00000C090000}"/>
    <cellStyle name="Currency 4 3 2 3 2 2" xfId="2454" xr:uid="{00000000-0005-0000-0000-00000D090000}"/>
    <cellStyle name="Currency 4 3 2 3 3" xfId="2455" xr:uid="{00000000-0005-0000-0000-00000E090000}"/>
    <cellStyle name="Currency 4 3 2 3 3 2" xfId="2456" xr:uid="{00000000-0005-0000-0000-00000F090000}"/>
    <cellStyle name="Currency 4 3 2 3 4" xfId="2457" xr:uid="{00000000-0005-0000-0000-000010090000}"/>
    <cellStyle name="Currency 4 3 2 4" xfId="2458" xr:uid="{00000000-0005-0000-0000-000011090000}"/>
    <cellStyle name="Currency 4 3 2 4 2" xfId="2459" xr:uid="{00000000-0005-0000-0000-000012090000}"/>
    <cellStyle name="Currency 4 3 2 5" xfId="2460" xr:uid="{00000000-0005-0000-0000-000013090000}"/>
    <cellStyle name="Currency 4 3 2 5 2" xfId="2461" xr:uid="{00000000-0005-0000-0000-000014090000}"/>
    <cellStyle name="Currency 4 3 2 6" xfId="2462" xr:uid="{00000000-0005-0000-0000-000015090000}"/>
    <cellStyle name="Currency 4 3 3" xfId="2463" xr:uid="{00000000-0005-0000-0000-000016090000}"/>
    <cellStyle name="Currency 4 3 3 2" xfId="2464" xr:uid="{00000000-0005-0000-0000-000017090000}"/>
    <cellStyle name="Currency 4 3 3 2 2" xfId="2465" xr:uid="{00000000-0005-0000-0000-000018090000}"/>
    <cellStyle name="Currency 4 3 3 2 2 2" xfId="2466" xr:uid="{00000000-0005-0000-0000-000019090000}"/>
    <cellStyle name="Currency 4 3 3 2 3" xfId="2467" xr:uid="{00000000-0005-0000-0000-00001A090000}"/>
    <cellStyle name="Currency 4 3 3 2 3 2" xfId="2468" xr:uid="{00000000-0005-0000-0000-00001B090000}"/>
    <cellStyle name="Currency 4 3 3 2 4" xfId="2469" xr:uid="{00000000-0005-0000-0000-00001C090000}"/>
    <cellStyle name="Currency 4 3 3 3" xfId="2470" xr:uid="{00000000-0005-0000-0000-00001D090000}"/>
    <cellStyle name="Currency 4 3 3 3 2" xfId="2471" xr:uid="{00000000-0005-0000-0000-00001E090000}"/>
    <cellStyle name="Currency 4 3 3 4" xfId="2472" xr:uid="{00000000-0005-0000-0000-00001F090000}"/>
    <cellStyle name="Currency 4 3 3 4 2" xfId="2473" xr:uid="{00000000-0005-0000-0000-000020090000}"/>
    <cellStyle name="Currency 4 3 3 5" xfId="2474" xr:uid="{00000000-0005-0000-0000-000021090000}"/>
    <cellStyle name="Currency 4 3 4" xfId="2475" xr:uid="{00000000-0005-0000-0000-000022090000}"/>
    <cellStyle name="Currency 4 3 4 2" xfId="2476" xr:uid="{00000000-0005-0000-0000-000023090000}"/>
    <cellStyle name="Currency 4 3 4 2 2" xfId="2477" xr:uid="{00000000-0005-0000-0000-000024090000}"/>
    <cellStyle name="Currency 4 3 4 3" xfId="2478" xr:uid="{00000000-0005-0000-0000-000025090000}"/>
    <cellStyle name="Currency 4 3 4 3 2" xfId="2479" xr:uid="{00000000-0005-0000-0000-000026090000}"/>
    <cellStyle name="Currency 4 3 4 4" xfId="2480" xr:uid="{00000000-0005-0000-0000-000027090000}"/>
    <cellStyle name="Currency 4 3 5" xfId="2481" xr:uid="{00000000-0005-0000-0000-000028090000}"/>
    <cellStyle name="Currency 4 3 5 2" xfId="2482" xr:uid="{00000000-0005-0000-0000-000029090000}"/>
    <cellStyle name="Currency 4 3 6" xfId="2483" xr:uid="{00000000-0005-0000-0000-00002A090000}"/>
    <cellStyle name="Currency 4 3 6 2" xfId="2484" xr:uid="{00000000-0005-0000-0000-00002B090000}"/>
    <cellStyle name="Currency 4 3 7" xfId="2485" xr:uid="{00000000-0005-0000-0000-00002C090000}"/>
    <cellStyle name="Currency 4 4" xfId="2486" xr:uid="{00000000-0005-0000-0000-00002D090000}"/>
    <cellStyle name="Currency 4 4 2" xfId="2487" xr:uid="{00000000-0005-0000-0000-00002E090000}"/>
    <cellStyle name="Currency 4 4 2 2" xfId="2488" xr:uid="{00000000-0005-0000-0000-00002F090000}"/>
    <cellStyle name="Currency 4 4 2 2 2" xfId="2489" xr:uid="{00000000-0005-0000-0000-000030090000}"/>
    <cellStyle name="Currency 4 4 2 2 2 2" xfId="2490" xr:uid="{00000000-0005-0000-0000-000031090000}"/>
    <cellStyle name="Currency 4 4 2 2 2 2 2" xfId="2491" xr:uid="{00000000-0005-0000-0000-000032090000}"/>
    <cellStyle name="Currency 4 4 2 2 2 3" xfId="2492" xr:uid="{00000000-0005-0000-0000-000033090000}"/>
    <cellStyle name="Currency 4 4 2 2 2 3 2" xfId="2493" xr:uid="{00000000-0005-0000-0000-000034090000}"/>
    <cellStyle name="Currency 4 4 2 2 2 4" xfId="2494" xr:uid="{00000000-0005-0000-0000-000035090000}"/>
    <cellStyle name="Currency 4 4 2 2 3" xfId="2495" xr:uid="{00000000-0005-0000-0000-000036090000}"/>
    <cellStyle name="Currency 4 4 2 2 3 2" xfId="2496" xr:uid="{00000000-0005-0000-0000-000037090000}"/>
    <cellStyle name="Currency 4 4 2 2 4" xfId="2497" xr:uid="{00000000-0005-0000-0000-000038090000}"/>
    <cellStyle name="Currency 4 4 2 2 4 2" xfId="2498" xr:uid="{00000000-0005-0000-0000-000039090000}"/>
    <cellStyle name="Currency 4 4 2 2 5" xfId="2499" xr:uid="{00000000-0005-0000-0000-00003A090000}"/>
    <cellStyle name="Currency 4 4 2 3" xfId="2500" xr:uid="{00000000-0005-0000-0000-00003B090000}"/>
    <cellStyle name="Currency 4 4 2 3 2" xfId="2501" xr:uid="{00000000-0005-0000-0000-00003C090000}"/>
    <cellStyle name="Currency 4 4 2 3 2 2" xfId="2502" xr:uid="{00000000-0005-0000-0000-00003D090000}"/>
    <cellStyle name="Currency 4 4 2 3 3" xfId="2503" xr:uid="{00000000-0005-0000-0000-00003E090000}"/>
    <cellStyle name="Currency 4 4 2 3 3 2" xfId="2504" xr:uid="{00000000-0005-0000-0000-00003F090000}"/>
    <cellStyle name="Currency 4 4 2 3 4" xfId="2505" xr:uid="{00000000-0005-0000-0000-000040090000}"/>
    <cellStyle name="Currency 4 4 2 4" xfId="2506" xr:uid="{00000000-0005-0000-0000-000041090000}"/>
    <cellStyle name="Currency 4 4 2 4 2" xfId="2507" xr:uid="{00000000-0005-0000-0000-000042090000}"/>
    <cellStyle name="Currency 4 4 2 5" xfId="2508" xr:uid="{00000000-0005-0000-0000-000043090000}"/>
    <cellStyle name="Currency 4 4 2 5 2" xfId="2509" xr:uid="{00000000-0005-0000-0000-000044090000}"/>
    <cellStyle name="Currency 4 4 2 6" xfId="2510" xr:uid="{00000000-0005-0000-0000-000045090000}"/>
    <cellStyle name="Currency 4 4 3" xfId="2511" xr:uid="{00000000-0005-0000-0000-000046090000}"/>
    <cellStyle name="Currency 4 4 3 2" xfId="2512" xr:uid="{00000000-0005-0000-0000-000047090000}"/>
    <cellStyle name="Currency 4 4 3 2 2" xfId="2513" xr:uid="{00000000-0005-0000-0000-000048090000}"/>
    <cellStyle name="Currency 4 4 3 2 2 2" xfId="2514" xr:uid="{00000000-0005-0000-0000-000049090000}"/>
    <cellStyle name="Currency 4 4 3 2 3" xfId="2515" xr:uid="{00000000-0005-0000-0000-00004A090000}"/>
    <cellStyle name="Currency 4 4 3 2 3 2" xfId="2516" xr:uid="{00000000-0005-0000-0000-00004B090000}"/>
    <cellStyle name="Currency 4 4 3 2 4" xfId="2517" xr:uid="{00000000-0005-0000-0000-00004C090000}"/>
    <cellStyle name="Currency 4 4 3 3" xfId="2518" xr:uid="{00000000-0005-0000-0000-00004D090000}"/>
    <cellStyle name="Currency 4 4 3 3 2" xfId="2519" xr:uid="{00000000-0005-0000-0000-00004E090000}"/>
    <cellStyle name="Currency 4 4 3 4" xfId="2520" xr:uid="{00000000-0005-0000-0000-00004F090000}"/>
    <cellStyle name="Currency 4 4 3 4 2" xfId="2521" xr:uid="{00000000-0005-0000-0000-000050090000}"/>
    <cellStyle name="Currency 4 4 3 5" xfId="2522" xr:uid="{00000000-0005-0000-0000-000051090000}"/>
    <cellStyle name="Currency 4 4 4" xfId="2523" xr:uid="{00000000-0005-0000-0000-000052090000}"/>
    <cellStyle name="Currency 4 4 4 2" xfId="2524" xr:uid="{00000000-0005-0000-0000-000053090000}"/>
    <cellStyle name="Currency 4 4 4 2 2" xfId="2525" xr:uid="{00000000-0005-0000-0000-000054090000}"/>
    <cellStyle name="Currency 4 4 4 3" xfId="2526" xr:uid="{00000000-0005-0000-0000-000055090000}"/>
    <cellStyle name="Currency 4 4 4 3 2" xfId="2527" xr:uid="{00000000-0005-0000-0000-000056090000}"/>
    <cellStyle name="Currency 4 4 4 4" xfId="2528" xr:uid="{00000000-0005-0000-0000-000057090000}"/>
    <cellStyle name="Currency 4 4 5" xfId="2529" xr:uid="{00000000-0005-0000-0000-000058090000}"/>
    <cellStyle name="Currency 4 4 5 2" xfId="2530" xr:uid="{00000000-0005-0000-0000-000059090000}"/>
    <cellStyle name="Currency 4 4 6" xfId="2531" xr:uid="{00000000-0005-0000-0000-00005A090000}"/>
    <cellStyle name="Currency 4 4 6 2" xfId="2532" xr:uid="{00000000-0005-0000-0000-00005B090000}"/>
    <cellStyle name="Currency 4 4 7" xfId="2533" xr:uid="{00000000-0005-0000-0000-00005C090000}"/>
    <cellStyle name="Currency 4 5" xfId="2534" xr:uid="{00000000-0005-0000-0000-00005D090000}"/>
    <cellStyle name="Currency 4 5 2" xfId="2535" xr:uid="{00000000-0005-0000-0000-00005E090000}"/>
    <cellStyle name="Currency 4 5 2 2" xfId="2536" xr:uid="{00000000-0005-0000-0000-00005F090000}"/>
    <cellStyle name="Currency 4 5 2 2 2" xfId="2537" xr:uid="{00000000-0005-0000-0000-000060090000}"/>
    <cellStyle name="Currency 4 5 2 2 2 2" xfId="2538" xr:uid="{00000000-0005-0000-0000-000061090000}"/>
    <cellStyle name="Currency 4 5 2 2 3" xfId="2539" xr:uid="{00000000-0005-0000-0000-000062090000}"/>
    <cellStyle name="Currency 4 5 2 2 3 2" xfId="2540" xr:uid="{00000000-0005-0000-0000-000063090000}"/>
    <cellStyle name="Currency 4 5 2 2 4" xfId="2541" xr:uid="{00000000-0005-0000-0000-000064090000}"/>
    <cellStyle name="Currency 4 5 2 3" xfId="2542" xr:uid="{00000000-0005-0000-0000-000065090000}"/>
    <cellStyle name="Currency 4 5 2 3 2" xfId="2543" xr:uid="{00000000-0005-0000-0000-000066090000}"/>
    <cellStyle name="Currency 4 5 2 4" xfId="2544" xr:uid="{00000000-0005-0000-0000-000067090000}"/>
    <cellStyle name="Currency 4 5 2 4 2" xfId="2545" xr:uid="{00000000-0005-0000-0000-000068090000}"/>
    <cellStyle name="Currency 4 5 2 5" xfId="2546" xr:uid="{00000000-0005-0000-0000-000069090000}"/>
    <cellStyle name="Currency 4 5 3" xfId="2547" xr:uid="{00000000-0005-0000-0000-00006A090000}"/>
    <cellStyle name="Currency 4 5 3 2" xfId="2548" xr:uid="{00000000-0005-0000-0000-00006B090000}"/>
    <cellStyle name="Currency 4 5 3 2 2" xfId="2549" xr:uid="{00000000-0005-0000-0000-00006C090000}"/>
    <cellStyle name="Currency 4 5 3 3" xfId="2550" xr:uid="{00000000-0005-0000-0000-00006D090000}"/>
    <cellStyle name="Currency 4 5 3 3 2" xfId="2551" xr:uid="{00000000-0005-0000-0000-00006E090000}"/>
    <cellStyle name="Currency 4 5 3 4" xfId="2552" xr:uid="{00000000-0005-0000-0000-00006F090000}"/>
    <cellStyle name="Currency 4 5 4" xfId="2553" xr:uid="{00000000-0005-0000-0000-000070090000}"/>
    <cellStyle name="Currency 4 5 4 2" xfId="2554" xr:uid="{00000000-0005-0000-0000-000071090000}"/>
    <cellStyle name="Currency 4 5 5" xfId="2555" xr:uid="{00000000-0005-0000-0000-000072090000}"/>
    <cellStyle name="Currency 4 5 5 2" xfId="2556" xr:uid="{00000000-0005-0000-0000-000073090000}"/>
    <cellStyle name="Currency 4 5 6" xfId="2557" xr:uid="{00000000-0005-0000-0000-000074090000}"/>
    <cellStyle name="Currency 4 6" xfId="2558" xr:uid="{00000000-0005-0000-0000-000075090000}"/>
    <cellStyle name="Currency 4 6 2" xfId="2559" xr:uid="{00000000-0005-0000-0000-000076090000}"/>
    <cellStyle name="Currency 4 6 2 2" xfId="2560" xr:uid="{00000000-0005-0000-0000-000077090000}"/>
    <cellStyle name="Currency 4 6 2 2 2" xfId="2561" xr:uid="{00000000-0005-0000-0000-000078090000}"/>
    <cellStyle name="Currency 4 6 2 3" xfId="2562" xr:uid="{00000000-0005-0000-0000-000079090000}"/>
    <cellStyle name="Currency 4 6 2 3 2" xfId="2563" xr:uid="{00000000-0005-0000-0000-00007A090000}"/>
    <cellStyle name="Currency 4 6 2 4" xfId="2564" xr:uid="{00000000-0005-0000-0000-00007B090000}"/>
    <cellStyle name="Currency 4 6 3" xfId="2565" xr:uid="{00000000-0005-0000-0000-00007C090000}"/>
    <cellStyle name="Currency 4 6 3 2" xfId="2566" xr:uid="{00000000-0005-0000-0000-00007D090000}"/>
    <cellStyle name="Currency 4 6 4" xfId="2567" xr:uid="{00000000-0005-0000-0000-00007E090000}"/>
    <cellStyle name="Currency 4 6 4 2" xfId="2568" xr:uid="{00000000-0005-0000-0000-00007F090000}"/>
    <cellStyle name="Currency 4 6 5" xfId="2569" xr:uid="{00000000-0005-0000-0000-000080090000}"/>
    <cellStyle name="Currency 4 7" xfId="2570" xr:uid="{00000000-0005-0000-0000-000081090000}"/>
    <cellStyle name="Currency 4 7 2" xfId="2571" xr:uid="{00000000-0005-0000-0000-000082090000}"/>
    <cellStyle name="Currency 4 7 2 2" xfId="2572" xr:uid="{00000000-0005-0000-0000-000083090000}"/>
    <cellStyle name="Currency 4 7 3" xfId="2573" xr:uid="{00000000-0005-0000-0000-000084090000}"/>
    <cellStyle name="Currency 4 7 3 2" xfId="2574" xr:uid="{00000000-0005-0000-0000-000085090000}"/>
    <cellStyle name="Currency 4 7 4" xfId="2575" xr:uid="{00000000-0005-0000-0000-000086090000}"/>
    <cellStyle name="Currency 4 8" xfId="2576" xr:uid="{00000000-0005-0000-0000-000087090000}"/>
    <cellStyle name="Currency 4 8 2" xfId="2577" xr:uid="{00000000-0005-0000-0000-000088090000}"/>
    <cellStyle name="Currency 4 9" xfId="2578" xr:uid="{00000000-0005-0000-0000-000089090000}"/>
    <cellStyle name="Currency 4 9 2" xfId="2579" xr:uid="{00000000-0005-0000-0000-00008A090000}"/>
    <cellStyle name="Currency 5" xfId="55" xr:uid="{00000000-0005-0000-0000-00008B090000}"/>
    <cellStyle name="Currency 5 2" xfId="2580" xr:uid="{00000000-0005-0000-0000-00008C090000}"/>
    <cellStyle name="Currency 5 2 2" xfId="2581" xr:uid="{00000000-0005-0000-0000-00008D090000}"/>
    <cellStyle name="Currency 5 2 2 2" xfId="2582" xr:uid="{00000000-0005-0000-0000-00008E090000}"/>
    <cellStyle name="Currency 5 2 2 2 2" xfId="2583" xr:uid="{00000000-0005-0000-0000-00008F090000}"/>
    <cellStyle name="Currency 5 2 2 2 2 2" xfId="2584" xr:uid="{00000000-0005-0000-0000-000090090000}"/>
    <cellStyle name="Currency 5 2 2 2 2 2 2" xfId="2585" xr:uid="{00000000-0005-0000-0000-000091090000}"/>
    <cellStyle name="Currency 5 2 2 2 2 3" xfId="2586" xr:uid="{00000000-0005-0000-0000-000092090000}"/>
    <cellStyle name="Currency 5 2 2 2 2 3 2" xfId="2587" xr:uid="{00000000-0005-0000-0000-000093090000}"/>
    <cellStyle name="Currency 5 2 2 2 2 4" xfId="2588" xr:uid="{00000000-0005-0000-0000-000094090000}"/>
    <cellStyle name="Currency 5 2 2 2 3" xfId="2589" xr:uid="{00000000-0005-0000-0000-000095090000}"/>
    <cellStyle name="Currency 5 2 2 2 3 2" xfId="2590" xr:uid="{00000000-0005-0000-0000-000096090000}"/>
    <cellStyle name="Currency 5 2 2 2 4" xfId="2591" xr:uid="{00000000-0005-0000-0000-000097090000}"/>
    <cellStyle name="Currency 5 2 2 2 4 2" xfId="2592" xr:uid="{00000000-0005-0000-0000-000098090000}"/>
    <cellStyle name="Currency 5 2 2 2 5" xfId="2593" xr:uid="{00000000-0005-0000-0000-000099090000}"/>
    <cellStyle name="Currency 5 2 2 3" xfId="2594" xr:uid="{00000000-0005-0000-0000-00009A090000}"/>
    <cellStyle name="Currency 5 2 2 3 2" xfId="2595" xr:uid="{00000000-0005-0000-0000-00009B090000}"/>
    <cellStyle name="Currency 5 2 2 3 2 2" xfId="2596" xr:uid="{00000000-0005-0000-0000-00009C090000}"/>
    <cellStyle name="Currency 5 2 2 3 3" xfId="2597" xr:uid="{00000000-0005-0000-0000-00009D090000}"/>
    <cellStyle name="Currency 5 2 2 3 3 2" xfId="2598" xr:uid="{00000000-0005-0000-0000-00009E090000}"/>
    <cellStyle name="Currency 5 2 2 3 4" xfId="2599" xr:uid="{00000000-0005-0000-0000-00009F090000}"/>
    <cellStyle name="Currency 5 2 2 4" xfId="2600" xr:uid="{00000000-0005-0000-0000-0000A0090000}"/>
    <cellStyle name="Currency 5 2 2 4 2" xfId="2601" xr:uid="{00000000-0005-0000-0000-0000A1090000}"/>
    <cellStyle name="Currency 5 2 2 5" xfId="2602" xr:uid="{00000000-0005-0000-0000-0000A2090000}"/>
    <cellStyle name="Currency 5 2 2 5 2" xfId="2603" xr:uid="{00000000-0005-0000-0000-0000A3090000}"/>
    <cellStyle name="Currency 5 2 2 6" xfId="2604" xr:uid="{00000000-0005-0000-0000-0000A4090000}"/>
    <cellStyle name="Currency 5 2 3" xfId="2605" xr:uid="{00000000-0005-0000-0000-0000A5090000}"/>
    <cellStyle name="Currency 5 2 3 2" xfId="2606" xr:uid="{00000000-0005-0000-0000-0000A6090000}"/>
    <cellStyle name="Currency 5 2 3 2 2" xfId="2607" xr:uid="{00000000-0005-0000-0000-0000A7090000}"/>
    <cellStyle name="Currency 5 2 3 2 2 2" xfId="2608" xr:uid="{00000000-0005-0000-0000-0000A8090000}"/>
    <cellStyle name="Currency 5 2 3 2 3" xfId="2609" xr:uid="{00000000-0005-0000-0000-0000A9090000}"/>
    <cellStyle name="Currency 5 2 3 2 3 2" xfId="2610" xr:uid="{00000000-0005-0000-0000-0000AA090000}"/>
    <cellStyle name="Currency 5 2 3 2 4" xfId="2611" xr:uid="{00000000-0005-0000-0000-0000AB090000}"/>
    <cellStyle name="Currency 5 2 3 3" xfId="2612" xr:uid="{00000000-0005-0000-0000-0000AC090000}"/>
    <cellStyle name="Currency 5 2 3 3 2" xfId="2613" xr:uid="{00000000-0005-0000-0000-0000AD090000}"/>
    <cellStyle name="Currency 5 2 3 4" xfId="2614" xr:uid="{00000000-0005-0000-0000-0000AE090000}"/>
    <cellStyle name="Currency 5 2 3 4 2" xfId="2615" xr:uid="{00000000-0005-0000-0000-0000AF090000}"/>
    <cellStyle name="Currency 5 2 3 5" xfId="2616" xr:uid="{00000000-0005-0000-0000-0000B0090000}"/>
    <cellStyle name="Currency 5 2 4" xfId="2617" xr:uid="{00000000-0005-0000-0000-0000B1090000}"/>
    <cellStyle name="Currency 5 2 4 2" xfId="2618" xr:uid="{00000000-0005-0000-0000-0000B2090000}"/>
    <cellStyle name="Currency 5 2 4 2 2" xfId="2619" xr:uid="{00000000-0005-0000-0000-0000B3090000}"/>
    <cellStyle name="Currency 5 2 4 3" xfId="2620" xr:uid="{00000000-0005-0000-0000-0000B4090000}"/>
    <cellStyle name="Currency 5 2 4 3 2" xfId="2621" xr:uid="{00000000-0005-0000-0000-0000B5090000}"/>
    <cellStyle name="Currency 5 2 4 4" xfId="2622" xr:uid="{00000000-0005-0000-0000-0000B6090000}"/>
    <cellStyle name="Currency 5 2 5" xfId="2623" xr:uid="{00000000-0005-0000-0000-0000B7090000}"/>
    <cellStyle name="Currency 5 2 5 2" xfId="2624" xr:uid="{00000000-0005-0000-0000-0000B8090000}"/>
    <cellStyle name="Currency 5 2 6" xfId="2625" xr:uid="{00000000-0005-0000-0000-0000B9090000}"/>
    <cellStyle name="Currency 5 2 6 2" xfId="2626" xr:uid="{00000000-0005-0000-0000-0000BA090000}"/>
    <cellStyle name="Currency 5 2 7" xfId="2627" xr:uid="{00000000-0005-0000-0000-0000BB090000}"/>
    <cellStyle name="Currency 5 3" xfId="2628" xr:uid="{00000000-0005-0000-0000-0000BC090000}"/>
    <cellStyle name="Currency 5 3 2" xfId="2629" xr:uid="{00000000-0005-0000-0000-0000BD090000}"/>
    <cellStyle name="Currency 5 3 2 2" xfId="2630" xr:uid="{00000000-0005-0000-0000-0000BE090000}"/>
    <cellStyle name="Currency 5 3 2 2 2" xfId="2631" xr:uid="{00000000-0005-0000-0000-0000BF090000}"/>
    <cellStyle name="Currency 5 3 2 2 2 2" xfId="2632" xr:uid="{00000000-0005-0000-0000-0000C0090000}"/>
    <cellStyle name="Currency 5 3 2 2 2 2 2" xfId="2633" xr:uid="{00000000-0005-0000-0000-0000C1090000}"/>
    <cellStyle name="Currency 5 3 2 2 2 3" xfId="2634" xr:uid="{00000000-0005-0000-0000-0000C2090000}"/>
    <cellStyle name="Currency 5 3 2 2 2 3 2" xfId="2635" xr:uid="{00000000-0005-0000-0000-0000C3090000}"/>
    <cellStyle name="Currency 5 3 2 2 2 4" xfId="2636" xr:uid="{00000000-0005-0000-0000-0000C4090000}"/>
    <cellStyle name="Currency 5 3 2 2 3" xfId="2637" xr:uid="{00000000-0005-0000-0000-0000C5090000}"/>
    <cellStyle name="Currency 5 3 2 2 3 2" xfId="2638" xr:uid="{00000000-0005-0000-0000-0000C6090000}"/>
    <cellStyle name="Currency 5 3 2 2 4" xfId="2639" xr:uid="{00000000-0005-0000-0000-0000C7090000}"/>
    <cellStyle name="Currency 5 3 2 2 4 2" xfId="2640" xr:uid="{00000000-0005-0000-0000-0000C8090000}"/>
    <cellStyle name="Currency 5 3 2 2 5" xfId="2641" xr:uid="{00000000-0005-0000-0000-0000C9090000}"/>
    <cellStyle name="Currency 5 3 2 3" xfId="2642" xr:uid="{00000000-0005-0000-0000-0000CA090000}"/>
    <cellStyle name="Currency 5 3 2 3 2" xfId="2643" xr:uid="{00000000-0005-0000-0000-0000CB090000}"/>
    <cellStyle name="Currency 5 3 2 3 2 2" xfId="2644" xr:uid="{00000000-0005-0000-0000-0000CC090000}"/>
    <cellStyle name="Currency 5 3 2 3 3" xfId="2645" xr:uid="{00000000-0005-0000-0000-0000CD090000}"/>
    <cellStyle name="Currency 5 3 2 3 3 2" xfId="2646" xr:uid="{00000000-0005-0000-0000-0000CE090000}"/>
    <cellStyle name="Currency 5 3 2 3 4" xfId="2647" xr:uid="{00000000-0005-0000-0000-0000CF090000}"/>
    <cellStyle name="Currency 5 3 2 4" xfId="2648" xr:uid="{00000000-0005-0000-0000-0000D0090000}"/>
    <cellStyle name="Currency 5 3 2 4 2" xfId="2649" xr:uid="{00000000-0005-0000-0000-0000D1090000}"/>
    <cellStyle name="Currency 5 3 2 5" xfId="2650" xr:uid="{00000000-0005-0000-0000-0000D2090000}"/>
    <cellStyle name="Currency 5 3 2 5 2" xfId="2651" xr:uid="{00000000-0005-0000-0000-0000D3090000}"/>
    <cellStyle name="Currency 5 3 2 6" xfId="2652" xr:uid="{00000000-0005-0000-0000-0000D4090000}"/>
    <cellStyle name="Currency 5 3 3" xfId="2653" xr:uid="{00000000-0005-0000-0000-0000D5090000}"/>
    <cellStyle name="Currency 5 3 3 2" xfId="2654" xr:uid="{00000000-0005-0000-0000-0000D6090000}"/>
    <cellStyle name="Currency 5 3 3 2 2" xfId="2655" xr:uid="{00000000-0005-0000-0000-0000D7090000}"/>
    <cellStyle name="Currency 5 3 3 2 2 2" xfId="2656" xr:uid="{00000000-0005-0000-0000-0000D8090000}"/>
    <cellStyle name="Currency 5 3 3 2 3" xfId="2657" xr:uid="{00000000-0005-0000-0000-0000D9090000}"/>
    <cellStyle name="Currency 5 3 3 2 3 2" xfId="2658" xr:uid="{00000000-0005-0000-0000-0000DA090000}"/>
    <cellStyle name="Currency 5 3 3 2 4" xfId="2659" xr:uid="{00000000-0005-0000-0000-0000DB090000}"/>
    <cellStyle name="Currency 5 3 3 3" xfId="2660" xr:uid="{00000000-0005-0000-0000-0000DC090000}"/>
    <cellStyle name="Currency 5 3 3 3 2" xfId="2661" xr:uid="{00000000-0005-0000-0000-0000DD090000}"/>
    <cellStyle name="Currency 5 3 3 4" xfId="2662" xr:uid="{00000000-0005-0000-0000-0000DE090000}"/>
    <cellStyle name="Currency 5 3 3 4 2" xfId="2663" xr:uid="{00000000-0005-0000-0000-0000DF090000}"/>
    <cellStyle name="Currency 5 3 3 5" xfId="2664" xr:uid="{00000000-0005-0000-0000-0000E0090000}"/>
    <cellStyle name="Currency 5 3 4" xfId="2665" xr:uid="{00000000-0005-0000-0000-0000E1090000}"/>
    <cellStyle name="Currency 5 3 4 2" xfId="2666" xr:uid="{00000000-0005-0000-0000-0000E2090000}"/>
    <cellStyle name="Currency 5 3 4 2 2" xfId="2667" xr:uid="{00000000-0005-0000-0000-0000E3090000}"/>
    <cellStyle name="Currency 5 3 4 3" xfId="2668" xr:uid="{00000000-0005-0000-0000-0000E4090000}"/>
    <cellStyle name="Currency 5 3 4 3 2" xfId="2669" xr:uid="{00000000-0005-0000-0000-0000E5090000}"/>
    <cellStyle name="Currency 5 3 4 4" xfId="2670" xr:uid="{00000000-0005-0000-0000-0000E6090000}"/>
    <cellStyle name="Currency 5 3 5" xfId="2671" xr:uid="{00000000-0005-0000-0000-0000E7090000}"/>
    <cellStyle name="Currency 5 3 5 2" xfId="2672" xr:uid="{00000000-0005-0000-0000-0000E8090000}"/>
    <cellStyle name="Currency 5 3 6" xfId="2673" xr:uid="{00000000-0005-0000-0000-0000E9090000}"/>
    <cellStyle name="Currency 5 3 6 2" xfId="2674" xr:uid="{00000000-0005-0000-0000-0000EA090000}"/>
    <cellStyle name="Currency 5 3 7" xfId="2675" xr:uid="{00000000-0005-0000-0000-0000EB090000}"/>
    <cellStyle name="Currency 5 4" xfId="2676" xr:uid="{00000000-0005-0000-0000-0000EC090000}"/>
    <cellStyle name="Currency 5 4 2" xfId="2677" xr:uid="{00000000-0005-0000-0000-0000ED090000}"/>
    <cellStyle name="Currency 5 4 2 2" xfId="2678" xr:uid="{00000000-0005-0000-0000-0000EE090000}"/>
    <cellStyle name="Currency 5 4 2 2 2" xfId="2679" xr:uid="{00000000-0005-0000-0000-0000EF090000}"/>
    <cellStyle name="Currency 5 4 2 2 2 2" xfId="2680" xr:uid="{00000000-0005-0000-0000-0000F0090000}"/>
    <cellStyle name="Currency 5 4 2 2 3" xfId="2681" xr:uid="{00000000-0005-0000-0000-0000F1090000}"/>
    <cellStyle name="Currency 5 4 2 2 3 2" xfId="2682" xr:uid="{00000000-0005-0000-0000-0000F2090000}"/>
    <cellStyle name="Currency 5 4 2 2 4" xfId="2683" xr:uid="{00000000-0005-0000-0000-0000F3090000}"/>
    <cellStyle name="Currency 5 4 2 3" xfId="2684" xr:uid="{00000000-0005-0000-0000-0000F4090000}"/>
    <cellStyle name="Currency 5 4 2 3 2" xfId="2685" xr:uid="{00000000-0005-0000-0000-0000F5090000}"/>
    <cellStyle name="Currency 5 4 2 4" xfId="2686" xr:uid="{00000000-0005-0000-0000-0000F6090000}"/>
    <cellStyle name="Currency 5 4 2 4 2" xfId="2687" xr:uid="{00000000-0005-0000-0000-0000F7090000}"/>
    <cellStyle name="Currency 5 4 2 5" xfId="2688" xr:uid="{00000000-0005-0000-0000-0000F8090000}"/>
    <cellStyle name="Currency 5 4 3" xfId="2689" xr:uid="{00000000-0005-0000-0000-0000F9090000}"/>
    <cellStyle name="Currency 5 4 3 2" xfId="2690" xr:uid="{00000000-0005-0000-0000-0000FA090000}"/>
    <cellStyle name="Currency 5 4 3 2 2" xfId="2691" xr:uid="{00000000-0005-0000-0000-0000FB090000}"/>
    <cellStyle name="Currency 5 4 3 3" xfId="2692" xr:uid="{00000000-0005-0000-0000-0000FC090000}"/>
    <cellStyle name="Currency 5 4 3 3 2" xfId="2693" xr:uid="{00000000-0005-0000-0000-0000FD090000}"/>
    <cellStyle name="Currency 5 4 3 4" xfId="2694" xr:uid="{00000000-0005-0000-0000-0000FE090000}"/>
    <cellStyle name="Currency 5 4 4" xfId="2695" xr:uid="{00000000-0005-0000-0000-0000FF090000}"/>
    <cellStyle name="Currency 5 4 4 2" xfId="2696" xr:uid="{00000000-0005-0000-0000-0000000A0000}"/>
    <cellStyle name="Currency 5 4 5" xfId="2697" xr:uid="{00000000-0005-0000-0000-0000010A0000}"/>
    <cellStyle name="Currency 5 4 5 2" xfId="2698" xr:uid="{00000000-0005-0000-0000-0000020A0000}"/>
    <cellStyle name="Currency 5 4 6" xfId="2699" xr:uid="{00000000-0005-0000-0000-0000030A0000}"/>
    <cellStyle name="Currency 5 5" xfId="2700" xr:uid="{00000000-0005-0000-0000-0000040A0000}"/>
    <cellStyle name="Currency 5 5 2" xfId="2701" xr:uid="{00000000-0005-0000-0000-0000050A0000}"/>
    <cellStyle name="Currency 5 5 2 2" xfId="2702" xr:uid="{00000000-0005-0000-0000-0000060A0000}"/>
    <cellStyle name="Currency 5 5 2 2 2" xfId="2703" xr:uid="{00000000-0005-0000-0000-0000070A0000}"/>
    <cellStyle name="Currency 5 5 2 3" xfId="2704" xr:uid="{00000000-0005-0000-0000-0000080A0000}"/>
    <cellStyle name="Currency 5 5 2 3 2" xfId="2705" xr:uid="{00000000-0005-0000-0000-0000090A0000}"/>
    <cellStyle name="Currency 5 5 2 4" xfId="2706" xr:uid="{00000000-0005-0000-0000-00000A0A0000}"/>
    <cellStyle name="Currency 5 5 3" xfId="2707" xr:uid="{00000000-0005-0000-0000-00000B0A0000}"/>
    <cellStyle name="Currency 5 5 3 2" xfId="2708" xr:uid="{00000000-0005-0000-0000-00000C0A0000}"/>
    <cellStyle name="Currency 5 5 4" xfId="2709" xr:uid="{00000000-0005-0000-0000-00000D0A0000}"/>
    <cellStyle name="Currency 5 5 4 2" xfId="2710" xr:uid="{00000000-0005-0000-0000-00000E0A0000}"/>
    <cellStyle name="Currency 5 5 5" xfId="2711" xr:uid="{00000000-0005-0000-0000-00000F0A0000}"/>
    <cellStyle name="Currency 5 6" xfId="2712" xr:uid="{00000000-0005-0000-0000-0000100A0000}"/>
    <cellStyle name="Currency 5 6 2" xfId="2713" xr:uid="{00000000-0005-0000-0000-0000110A0000}"/>
    <cellStyle name="Currency 5 6 2 2" xfId="2714" xr:uid="{00000000-0005-0000-0000-0000120A0000}"/>
    <cellStyle name="Currency 5 6 3" xfId="2715" xr:uid="{00000000-0005-0000-0000-0000130A0000}"/>
    <cellStyle name="Currency 5 6 3 2" xfId="2716" xr:uid="{00000000-0005-0000-0000-0000140A0000}"/>
    <cellStyle name="Currency 5 6 4" xfId="2717" xr:uid="{00000000-0005-0000-0000-0000150A0000}"/>
    <cellStyle name="Currency 5 7" xfId="2718" xr:uid="{00000000-0005-0000-0000-0000160A0000}"/>
    <cellStyle name="Currency 5 7 2" xfId="2719" xr:uid="{00000000-0005-0000-0000-0000170A0000}"/>
    <cellStyle name="Currency 5 8" xfId="2720" xr:uid="{00000000-0005-0000-0000-0000180A0000}"/>
    <cellStyle name="Currency 5 8 2" xfId="2721" xr:uid="{00000000-0005-0000-0000-0000190A0000}"/>
    <cellStyle name="Currency 5 9" xfId="2722" xr:uid="{00000000-0005-0000-0000-00001A0A0000}"/>
    <cellStyle name="Currency 6" xfId="56" xr:uid="{00000000-0005-0000-0000-00001B0A0000}"/>
    <cellStyle name="Currency 6 2" xfId="2723" xr:uid="{00000000-0005-0000-0000-00001C0A0000}"/>
    <cellStyle name="Currency 6 3" xfId="2724" xr:uid="{00000000-0005-0000-0000-00001D0A0000}"/>
    <cellStyle name="Currency 6 4" xfId="2725" xr:uid="{00000000-0005-0000-0000-00001E0A0000}"/>
    <cellStyle name="Currency 7" xfId="57" xr:uid="{00000000-0005-0000-0000-00001F0A0000}"/>
    <cellStyle name="Currency 7 2" xfId="2726" xr:uid="{00000000-0005-0000-0000-0000200A0000}"/>
    <cellStyle name="Currency 8" xfId="191" xr:uid="{00000000-0005-0000-0000-0000210A0000}"/>
    <cellStyle name="Currency 8 2" xfId="2728" xr:uid="{00000000-0005-0000-0000-0000220A0000}"/>
    <cellStyle name="Currency 8 2 2" xfId="2729" xr:uid="{00000000-0005-0000-0000-0000230A0000}"/>
    <cellStyle name="Currency 8 2 2 2" xfId="2730" xr:uid="{00000000-0005-0000-0000-0000240A0000}"/>
    <cellStyle name="Currency 8 2 2 2 2" xfId="2731" xr:uid="{00000000-0005-0000-0000-0000250A0000}"/>
    <cellStyle name="Currency 8 2 2 2 2 2" xfId="2732" xr:uid="{00000000-0005-0000-0000-0000260A0000}"/>
    <cellStyle name="Currency 8 2 2 2 2 2 2" xfId="2733" xr:uid="{00000000-0005-0000-0000-0000270A0000}"/>
    <cellStyle name="Currency 8 2 2 2 2 3" xfId="2734" xr:uid="{00000000-0005-0000-0000-0000280A0000}"/>
    <cellStyle name="Currency 8 2 2 2 2 3 2" xfId="2735" xr:uid="{00000000-0005-0000-0000-0000290A0000}"/>
    <cellStyle name="Currency 8 2 2 2 2 4" xfId="2736" xr:uid="{00000000-0005-0000-0000-00002A0A0000}"/>
    <cellStyle name="Currency 8 2 2 2 3" xfId="2737" xr:uid="{00000000-0005-0000-0000-00002B0A0000}"/>
    <cellStyle name="Currency 8 2 2 2 3 2" xfId="2738" xr:uid="{00000000-0005-0000-0000-00002C0A0000}"/>
    <cellStyle name="Currency 8 2 2 2 4" xfId="2739" xr:uid="{00000000-0005-0000-0000-00002D0A0000}"/>
    <cellStyle name="Currency 8 2 2 2 4 2" xfId="2740" xr:uid="{00000000-0005-0000-0000-00002E0A0000}"/>
    <cellStyle name="Currency 8 2 2 2 5" xfId="2741" xr:uid="{00000000-0005-0000-0000-00002F0A0000}"/>
    <cellStyle name="Currency 8 2 2 3" xfId="2742" xr:uid="{00000000-0005-0000-0000-0000300A0000}"/>
    <cellStyle name="Currency 8 2 2 3 2" xfId="2743" xr:uid="{00000000-0005-0000-0000-0000310A0000}"/>
    <cellStyle name="Currency 8 2 2 3 2 2" xfId="2744" xr:uid="{00000000-0005-0000-0000-0000320A0000}"/>
    <cellStyle name="Currency 8 2 2 3 3" xfId="2745" xr:uid="{00000000-0005-0000-0000-0000330A0000}"/>
    <cellStyle name="Currency 8 2 2 3 3 2" xfId="2746" xr:uid="{00000000-0005-0000-0000-0000340A0000}"/>
    <cellStyle name="Currency 8 2 2 3 4" xfId="2747" xr:uid="{00000000-0005-0000-0000-0000350A0000}"/>
    <cellStyle name="Currency 8 2 2 4" xfId="2748" xr:uid="{00000000-0005-0000-0000-0000360A0000}"/>
    <cellStyle name="Currency 8 2 2 4 2" xfId="2749" xr:uid="{00000000-0005-0000-0000-0000370A0000}"/>
    <cellStyle name="Currency 8 2 2 5" xfId="2750" xr:uid="{00000000-0005-0000-0000-0000380A0000}"/>
    <cellStyle name="Currency 8 2 2 5 2" xfId="2751" xr:uid="{00000000-0005-0000-0000-0000390A0000}"/>
    <cellStyle name="Currency 8 2 2 6" xfId="2752" xr:uid="{00000000-0005-0000-0000-00003A0A0000}"/>
    <cellStyle name="Currency 8 2 3" xfId="2753" xr:uid="{00000000-0005-0000-0000-00003B0A0000}"/>
    <cellStyle name="Currency 8 2 3 2" xfId="2754" xr:uid="{00000000-0005-0000-0000-00003C0A0000}"/>
    <cellStyle name="Currency 8 2 3 2 2" xfId="2755" xr:uid="{00000000-0005-0000-0000-00003D0A0000}"/>
    <cellStyle name="Currency 8 2 3 2 2 2" xfId="2756" xr:uid="{00000000-0005-0000-0000-00003E0A0000}"/>
    <cellStyle name="Currency 8 2 3 2 3" xfId="2757" xr:uid="{00000000-0005-0000-0000-00003F0A0000}"/>
    <cellStyle name="Currency 8 2 3 2 3 2" xfId="2758" xr:uid="{00000000-0005-0000-0000-0000400A0000}"/>
    <cellStyle name="Currency 8 2 3 2 4" xfId="2759" xr:uid="{00000000-0005-0000-0000-0000410A0000}"/>
    <cellStyle name="Currency 8 2 3 3" xfId="2760" xr:uid="{00000000-0005-0000-0000-0000420A0000}"/>
    <cellStyle name="Currency 8 2 3 3 2" xfId="2761" xr:uid="{00000000-0005-0000-0000-0000430A0000}"/>
    <cellStyle name="Currency 8 2 3 4" xfId="2762" xr:uid="{00000000-0005-0000-0000-0000440A0000}"/>
    <cellStyle name="Currency 8 2 3 4 2" xfId="2763" xr:uid="{00000000-0005-0000-0000-0000450A0000}"/>
    <cellStyle name="Currency 8 2 3 5" xfId="2764" xr:uid="{00000000-0005-0000-0000-0000460A0000}"/>
    <cellStyle name="Currency 8 2 4" xfId="2765" xr:uid="{00000000-0005-0000-0000-0000470A0000}"/>
    <cellStyle name="Currency 8 2 4 2" xfId="2766" xr:uid="{00000000-0005-0000-0000-0000480A0000}"/>
    <cellStyle name="Currency 8 2 4 2 2" xfId="2767" xr:uid="{00000000-0005-0000-0000-0000490A0000}"/>
    <cellStyle name="Currency 8 2 4 3" xfId="2768" xr:uid="{00000000-0005-0000-0000-00004A0A0000}"/>
    <cellStyle name="Currency 8 2 4 3 2" xfId="2769" xr:uid="{00000000-0005-0000-0000-00004B0A0000}"/>
    <cellStyle name="Currency 8 2 4 4" xfId="2770" xr:uid="{00000000-0005-0000-0000-00004C0A0000}"/>
    <cellStyle name="Currency 8 2 5" xfId="2771" xr:uid="{00000000-0005-0000-0000-00004D0A0000}"/>
    <cellStyle name="Currency 8 2 5 2" xfId="2772" xr:uid="{00000000-0005-0000-0000-00004E0A0000}"/>
    <cellStyle name="Currency 8 2 6" xfId="2773" xr:uid="{00000000-0005-0000-0000-00004F0A0000}"/>
    <cellStyle name="Currency 8 2 6 2" xfId="2774" xr:uid="{00000000-0005-0000-0000-0000500A0000}"/>
    <cellStyle name="Currency 8 2 7" xfId="2775" xr:uid="{00000000-0005-0000-0000-0000510A0000}"/>
    <cellStyle name="Currency 8 3" xfId="2776" xr:uid="{00000000-0005-0000-0000-0000520A0000}"/>
    <cellStyle name="Currency 8 3 2" xfId="2777" xr:uid="{00000000-0005-0000-0000-0000530A0000}"/>
    <cellStyle name="Currency 8 3 2 2" xfId="2778" xr:uid="{00000000-0005-0000-0000-0000540A0000}"/>
    <cellStyle name="Currency 8 3 2 2 2" xfId="2779" xr:uid="{00000000-0005-0000-0000-0000550A0000}"/>
    <cellStyle name="Currency 8 3 2 2 2 2" xfId="2780" xr:uid="{00000000-0005-0000-0000-0000560A0000}"/>
    <cellStyle name="Currency 8 3 2 2 3" xfId="2781" xr:uid="{00000000-0005-0000-0000-0000570A0000}"/>
    <cellStyle name="Currency 8 3 2 2 3 2" xfId="2782" xr:uid="{00000000-0005-0000-0000-0000580A0000}"/>
    <cellStyle name="Currency 8 3 2 2 4" xfId="2783" xr:uid="{00000000-0005-0000-0000-0000590A0000}"/>
    <cellStyle name="Currency 8 3 2 3" xfId="2784" xr:uid="{00000000-0005-0000-0000-00005A0A0000}"/>
    <cellStyle name="Currency 8 3 2 3 2" xfId="2785" xr:uid="{00000000-0005-0000-0000-00005B0A0000}"/>
    <cellStyle name="Currency 8 3 2 4" xfId="2786" xr:uid="{00000000-0005-0000-0000-00005C0A0000}"/>
    <cellStyle name="Currency 8 3 2 4 2" xfId="2787" xr:uid="{00000000-0005-0000-0000-00005D0A0000}"/>
    <cellStyle name="Currency 8 3 2 5" xfId="2788" xr:uid="{00000000-0005-0000-0000-00005E0A0000}"/>
    <cellStyle name="Currency 8 3 3" xfId="2789" xr:uid="{00000000-0005-0000-0000-00005F0A0000}"/>
    <cellStyle name="Currency 8 3 3 2" xfId="2790" xr:uid="{00000000-0005-0000-0000-0000600A0000}"/>
    <cellStyle name="Currency 8 3 3 2 2" xfId="2791" xr:uid="{00000000-0005-0000-0000-0000610A0000}"/>
    <cellStyle name="Currency 8 3 3 3" xfId="2792" xr:uid="{00000000-0005-0000-0000-0000620A0000}"/>
    <cellStyle name="Currency 8 3 3 3 2" xfId="2793" xr:uid="{00000000-0005-0000-0000-0000630A0000}"/>
    <cellStyle name="Currency 8 3 3 4" xfId="2794" xr:uid="{00000000-0005-0000-0000-0000640A0000}"/>
    <cellStyle name="Currency 8 3 4" xfId="2795" xr:uid="{00000000-0005-0000-0000-0000650A0000}"/>
    <cellStyle name="Currency 8 3 4 2" xfId="2796" xr:uid="{00000000-0005-0000-0000-0000660A0000}"/>
    <cellStyle name="Currency 8 3 5" xfId="2797" xr:uid="{00000000-0005-0000-0000-0000670A0000}"/>
    <cellStyle name="Currency 8 3 5 2" xfId="2798" xr:uid="{00000000-0005-0000-0000-0000680A0000}"/>
    <cellStyle name="Currency 8 3 6" xfId="2799" xr:uid="{00000000-0005-0000-0000-0000690A0000}"/>
    <cellStyle name="Currency 8 4" xfId="2800" xr:uid="{00000000-0005-0000-0000-00006A0A0000}"/>
    <cellStyle name="Currency 8 4 2" xfId="2801" xr:uid="{00000000-0005-0000-0000-00006B0A0000}"/>
    <cellStyle name="Currency 8 4 2 2" xfId="2802" xr:uid="{00000000-0005-0000-0000-00006C0A0000}"/>
    <cellStyle name="Currency 8 4 2 2 2" xfId="2803" xr:uid="{00000000-0005-0000-0000-00006D0A0000}"/>
    <cellStyle name="Currency 8 4 2 3" xfId="2804" xr:uid="{00000000-0005-0000-0000-00006E0A0000}"/>
    <cellStyle name="Currency 8 4 2 3 2" xfId="2805" xr:uid="{00000000-0005-0000-0000-00006F0A0000}"/>
    <cellStyle name="Currency 8 4 2 4" xfId="2806" xr:uid="{00000000-0005-0000-0000-0000700A0000}"/>
    <cellStyle name="Currency 8 4 3" xfId="2807" xr:uid="{00000000-0005-0000-0000-0000710A0000}"/>
    <cellStyle name="Currency 8 4 3 2" xfId="2808" xr:uid="{00000000-0005-0000-0000-0000720A0000}"/>
    <cellStyle name="Currency 8 4 4" xfId="2809" xr:uid="{00000000-0005-0000-0000-0000730A0000}"/>
    <cellStyle name="Currency 8 4 4 2" xfId="2810" xr:uid="{00000000-0005-0000-0000-0000740A0000}"/>
    <cellStyle name="Currency 8 4 5" xfId="2811" xr:uid="{00000000-0005-0000-0000-0000750A0000}"/>
    <cellStyle name="Currency 8 5" xfId="2812" xr:uid="{00000000-0005-0000-0000-0000760A0000}"/>
    <cellStyle name="Currency 8 5 2" xfId="2813" xr:uid="{00000000-0005-0000-0000-0000770A0000}"/>
    <cellStyle name="Currency 8 5 2 2" xfId="2814" xr:uid="{00000000-0005-0000-0000-0000780A0000}"/>
    <cellStyle name="Currency 8 5 3" xfId="2815" xr:uid="{00000000-0005-0000-0000-0000790A0000}"/>
    <cellStyle name="Currency 8 5 3 2" xfId="2816" xr:uid="{00000000-0005-0000-0000-00007A0A0000}"/>
    <cellStyle name="Currency 8 5 4" xfId="2817" xr:uid="{00000000-0005-0000-0000-00007B0A0000}"/>
    <cellStyle name="Currency 8 6" xfId="2818" xr:uid="{00000000-0005-0000-0000-00007C0A0000}"/>
    <cellStyle name="Currency 8 6 2" xfId="2819" xr:uid="{00000000-0005-0000-0000-00007D0A0000}"/>
    <cellStyle name="Currency 8 7" xfId="2820" xr:uid="{00000000-0005-0000-0000-00007E0A0000}"/>
    <cellStyle name="Currency 8 7 2" xfId="2821" xr:uid="{00000000-0005-0000-0000-00007F0A0000}"/>
    <cellStyle name="Currency 8 8" xfId="2822" xr:uid="{00000000-0005-0000-0000-0000800A0000}"/>
    <cellStyle name="Currency 8 9" xfId="2727" xr:uid="{00000000-0005-0000-0000-0000810A0000}"/>
    <cellStyle name="Currency 9" xfId="58" xr:uid="{00000000-0005-0000-0000-0000820A0000}"/>
    <cellStyle name="Currency 9 2" xfId="2823" xr:uid="{00000000-0005-0000-0000-0000830A0000}"/>
    <cellStyle name="Currency 9 2 2" xfId="2824" xr:uid="{00000000-0005-0000-0000-0000840A0000}"/>
    <cellStyle name="Currency 9 2 2 2" xfId="2825" xr:uid="{00000000-0005-0000-0000-0000850A0000}"/>
    <cellStyle name="Currency 9 2 2 2 2" xfId="2826" xr:uid="{00000000-0005-0000-0000-0000860A0000}"/>
    <cellStyle name="Currency 9 2 2 2 2 2" xfId="2827" xr:uid="{00000000-0005-0000-0000-0000870A0000}"/>
    <cellStyle name="Currency 9 2 2 2 3" xfId="2828" xr:uid="{00000000-0005-0000-0000-0000880A0000}"/>
    <cellStyle name="Currency 9 2 2 2 3 2" xfId="2829" xr:uid="{00000000-0005-0000-0000-0000890A0000}"/>
    <cellStyle name="Currency 9 2 2 2 4" xfId="2830" xr:uid="{00000000-0005-0000-0000-00008A0A0000}"/>
    <cellStyle name="Currency 9 2 2 3" xfId="2831" xr:uid="{00000000-0005-0000-0000-00008B0A0000}"/>
    <cellStyle name="Currency 9 2 2 3 2" xfId="2832" xr:uid="{00000000-0005-0000-0000-00008C0A0000}"/>
    <cellStyle name="Currency 9 2 2 4" xfId="2833" xr:uid="{00000000-0005-0000-0000-00008D0A0000}"/>
    <cellStyle name="Currency 9 2 2 4 2" xfId="2834" xr:uid="{00000000-0005-0000-0000-00008E0A0000}"/>
    <cellStyle name="Currency 9 2 2 5" xfId="2835" xr:uid="{00000000-0005-0000-0000-00008F0A0000}"/>
    <cellStyle name="Currency 9 2 3" xfId="2836" xr:uid="{00000000-0005-0000-0000-0000900A0000}"/>
    <cellStyle name="Currency 9 2 3 2" xfId="2837" xr:uid="{00000000-0005-0000-0000-0000910A0000}"/>
    <cellStyle name="Currency 9 2 3 2 2" xfId="2838" xr:uid="{00000000-0005-0000-0000-0000920A0000}"/>
    <cellStyle name="Currency 9 2 3 3" xfId="2839" xr:uid="{00000000-0005-0000-0000-0000930A0000}"/>
    <cellStyle name="Currency 9 2 3 3 2" xfId="2840" xr:uid="{00000000-0005-0000-0000-0000940A0000}"/>
    <cellStyle name="Currency 9 2 3 4" xfId="2841" xr:uid="{00000000-0005-0000-0000-0000950A0000}"/>
    <cellStyle name="Currency 9 2 4" xfId="2842" xr:uid="{00000000-0005-0000-0000-0000960A0000}"/>
    <cellStyle name="Currency 9 2 4 2" xfId="2843" xr:uid="{00000000-0005-0000-0000-0000970A0000}"/>
    <cellStyle name="Currency 9 2 5" xfId="2844" xr:uid="{00000000-0005-0000-0000-0000980A0000}"/>
    <cellStyle name="Currency 9 2 5 2" xfId="2845" xr:uid="{00000000-0005-0000-0000-0000990A0000}"/>
    <cellStyle name="Currency 9 2 6" xfId="2846" xr:uid="{00000000-0005-0000-0000-00009A0A0000}"/>
    <cellStyle name="Currency 9 3" xfId="2847" xr:uid="{00000000-0005-0000-0000-00009B0A0000}"/>
    <cellStyle name="Currency 9 3 2" xfId="2848" xr:uid="{00000000-0005-0000-0000-00009C0A0000}"/>
    <cellStyle name="Currency 9 3 2 2" xfId="2849" xr:uid="{00000000-0005-0000-0000-00009D0A0000}"/>
    <cellStyle name="Currency 9 3 2 2 2" xfId="2850" xr:uid="{00000000-0005-0000-0000-00009E0A0000}"/>
    <cellStyle name="Currency 9 3 2 3" xfId="2851" xr:uid="{00000000-0005-0000-0000-00009F0A0000}"/>
    <cellStyle name="Currency 9 3 2 3 2" xfId="2852" xr:uid="{00000000-0005-0000-0000-0000A00A0000}"/>
    <cellStyle name="Currency 9 3 2 4" xfId="2853" xr:uid="{00000000-0005-0000-0000-0000A10A0000}"/>
    <cellStyle name="Currency 9 3 3" xfId="2854" xr:uid="{00000000-0005-0000-0000-0000A20A0000}"/>
    <cellStyle name="Currency 9 3 3 2" xfId="2855" xr:uid="{00000000-0005-0000-0000-0000A30A0000}"/>
    <cellStyle name="Currency 9 3 4" xfId="2856" xr:uid="{00000000-0005-0000-0000-0000A40A0000}"/>
    <cellStyle name="Currency 9 3 4 2" xfId="2857" xr:uid="{00000000-0005-0000-0000-0000A50A0000}"/>
    <cellStyle name="Currency 9 3 5" xfId="2858" xr:uid="{00000000-0005-0000-0000-0000A60A0000}"/>
    <cellStyle name="Currency 9 4" xfId="2859" xr:uid="{00000000-0005-0000-0000-0000A70A0000}"/>
    <cellStyle name="Currency 9 4 2" xfId="2860" xr:uid="{00000000-0005-0000-0000-0000A80A0000}"/>
    <cellStyle name="Currency 9 4 2 2" xfId="2861" xr:uid="{00000000-0005-0000-0000-0000A90A0000}"/>
    <cellStyle name="Currency 9 4 3" xfId="2862" xr:uid="{00000000-0005-0000-0000-0000AA0A0000}"/>
    <cellStyle name="Currency 9 4 3 2" xfId="2863" xr:uid="{00000000-0005-0000-0000-0000AB0A0000}"/>
    <cellStyle name="Currency 9 4 4" xfId="2864" xr:uid="{00000000-0005-0000-0000-0000AC0A0000}"/>
    <cellStyle name="Currency 9 5" xfId="2865" xr:uid="{00000000-0005-0000-0000-0000AD0A0000}"/>
    <cellStyle name="Currency 9 5 2" xfId="2866" xr:uid="{00000000-0005-0000-0000-0000AE0A0000}"/>
    <cellStyle name="Currency 9 6" xfId="2867" xr:uid="{00000000-0005-0000-0000-0000AF0A0000}"/>
    <cellStyle name="Currency 9 6 2" xfId="2868" xr:uid="{00000000-0005-0000-0000-0000B00A0000}"/>
    <cellStyle name="Currency 9 7" xfId="2869" xr:uid="{00000000-0005-0000-0000-0000B10A0000}"/>
    <cellStyle name="Currency0" xfId="2870" xr:uid="{00000000-0005-0000-0000-0000B20A0000}"/>
    <cellStyle name="Custom - Style1" xfId="2871" xr:uid="{00000000-0005-0000-0000-0000B30A0000}"/>
    <cellStyle name="Custom - Style8" xfId="2872" xr:uid="{00000000-0005-0000-0000-0000B40A0000}"/>
    <cellStyle name="Data   - Style2" xfId="2873" xr:uid="{00000000-0005-0000-0000-0000B50A0000}"/>
    <cellStyle name="Data   - Style2 2" xfId="2874" xr:uid="{00000000-0005-0000-0000-0000B60A0000}"/>
    <cellStyle name="Data   - Style2 3" xfId="2875" xr:uid="{00000000-0005-0000-0000-0000B70A0000}"/>
    <cellStyle name="Data   - Style2 4" xfId="2876" xr:uid="{00000000-0005-0000-0000-0000B80A0000}"/>
    <cellStyle name="Data   - Style2 5" xfId="2877" xr:uid="{00000000-0005-0000-0000-0000B90A0000}"/>
    <cellStyle name="Data Enter" xfId="59" xr:uid="{00000000-0005-0000-0000-0000BA0A0000}"/>
    <cellStyle name="date" xfId="2878" xr:uid="{00000000-0005-0000-0000-0000BB0A0000}"/>
    <cellStyle name="Euro" xfId="2879" xr:uid="{00000000-0005-0000-0000-0000BC0A0000}"/>
    <cellStyle name="Euro 2" xfId="2880" xr:uid="{00000000-0005-0000-0000-0000BD0A0000}"/>
    <cellStyle name="Explanatory Text" xfId="262" builtinId="53" customBuiltin="1"/>
    <cellStyle name="Explanatory Text 2" xfId="196" xr:uid="{00000000-0005-0000-0000-0000BF0A0000}"/>
    <cellStyle name="Explanatory Text 3" xfId="195" xr:uid="{00000000-0005-0000-0000-0000C00A0000}"/>
    <cellStyle name="Explanatory Text 4" xfId="2881" xr:uid="{00000000-0005-0000-0000-0000C10A0000}"/>
    <cellStyle name="F9ReportControlStyle_ctpInquire" xfId="2882" xr:uid="{00000000-0005-0000-0000-0000C20A0000}"/>
    <cellStyle name="FactSheet" xfId="60" xr:uid="{00000000-0005-0000-0000-0000C30A0000}"/>
    <cellStyle name="fish" xfId="2883" xr:uid="{00000000-0005-0000-0000-0000C40A0000}"/>
    <cellStyle name="Good" xfId="255" builtinId="26" customBuiltin="1"/>
    <cellStyle name="Good 2" xfId="61" xr:uid="{00000000-0005-0000-0000-0000C60A0000}"/>
    <cellStyle name="Good 2 2" xfId="198" xr:uid="{00000000-0005-0000-0000-0000C70A0000}"/>
    <cellStyle name="Good 2 2 2" xfId="2884" xr:uid="{00000000-0005-0000-0000-0000C80A0000}"/>
    <cellStyle name="Good 2 3" xfId="2885" xr:uid="{00000000-0005-0000-0000-0000C90A0000}"/>
    <cellStyle name="Good 2 4" xfId="2886" xr:uid="{00000000-0005-0000-0000-0000CA0A0000}"/>
    <cellStyle name="Good 2 5" xfId="2887" xr:uid="{00000000-0005-0000-0000-0000CB0A0000}"/>
    <cellStyle name="Good 3" xfId="197" xr:uid="{00000000-0005-0000-0000-0000CC0A0000}"/>
    <cellStyle name="Good 3 2" xfId="2889" xr:uid="{00000000-0005-0000-0000-0000CD0A0000}"/>
    <cellStyle name="Good 3 3" xfId="2890" xr:uid="{00000000-0005-0000-0000-0000CE0A0000}"/>
    <cellStyle name="Good 3 4" xfId="2888" xr:uid="{00000000-0005-0000-0000-0000CF0A0000}"/>
    <cellStyle name="Good 4" xfId="2891" xr:uid="{00000000-0005-0000-0000-0000D00A0000}"/>
    <cellStyle name="Good 5" xfId="2892" xr:uid="{00000000-0005-0000-0000-0000D10A0000}"/>
    <cellStyle name="Heading 1" xfId="251" builtinId="16" customBuiltin="1"/>
    <cellStyle name="Heading 1 2" xfId="62" xr:uid="{00000000-0005-0000-0000-0000D30A0000}"/>
    <cellStyle name="Heading 1 2 2" xfId="200" xr:uid="{00000000-0005-0000-0000-0000D40A0000}"/>
    <cellStyle name="Heading 1 2 2 2" xfId="2894" xr:uid="{00000000-0005-0000-0000-0000D50A0000}"/>
    <cellStyle name="Heading 1 2 2 3" xfId="2893" xr:uid="{00000000-0005-0000-0000-0000D60A0000}"/>
    <cellStyle name="Heading 1 2 3" xfId="2895" xr:uid="{00000000-0005-0000-0000-0000D70A0000}"/>
    <cellStyle name="Heading 1 2 4" xfId="2896" xr:uid="{00000000-0005-0000-0000-0000D80A0000}"/>
    <cellStyle name="Heading 1 3" xfId="199" xr:uid="{00000000-0005-0000-0000-0000D90A0000}"/>
    <cellStyle name="Heading 1 3 2" xfId="2898" xr:uid="{00000000-0005-0000-0000-0000DA0A0000}"/>
    <cellStyle name="Heading 1 3 3" xfId="2899" xr:uid="{00000000-0005-0000-0000-0000DB0A0000}"/>
    <cellStyle name="Heading 1 3 4" xfId="2897" xr:uid="{00000000-0005-0000-0000-0000DC0A0000}"/>
    <cellStyle name="Heading 1 4" xfId="2900" xr:uid="{00000000-0005-0000-0000-0000DD0A0000}"/>
    <cellStyle name="Heading 1 4 2" xfId="2901" xr:uid="{00000000-0005-0000-0000-0000DE0A0000}"/>
    <cellStyle name="Heading 2" xfId="252" builtinId="17" customBuiltin="1"/>
    <cellStyle name="Heading 2 2" xfId="63" xr:uid="{00000000-0005-0000-0000-0000E00A0000}"/>
    <cellStyle name="Heading 2 2 2" xfId="202" xr:uid="{00000000-0005-0000-0000-0000E10A0000}"/>
    <cellStyle name="Heading 2 2 2 2" xfId="2902" xr:uid="{00000000-0005-0000-0000-0000E20A0000}"/>
    <cellStyle name="Heading 2 2 3" xfId="2903" xr:uid="{00000000-0005-0000-0000-0000E30A0000}"/>
    <cellStyle name="Heading 2 2 4" xfId="2904" xr:uid="{00000000-0005-0000-0000-0000E40A0000}"/>
    <cellStyle name="Heading 2 3" xfId="201" xr:uid="{00000000-0005-0000-0000-0000E50A0000}"/>
    <cellStyle name="Heading 2 3 2" xfId="2906" xr:uid="{00000000-0005-0000-0000-0000E60A0000}"/>
    <cellStyle name="Heading 2 3 3" xfId="2907" xr:uid="{00000000-0005-0000-0000-0000E70A0000}"/>
    <cellStyle name="Heading 2 3 4" xfId="2905" xr:uid="{00000000-0005-0000-0000-0000E80A0000}"/>
    <cellStyle name="Heading 2 4" xfId="2908" xr:uid="{00000000-0005-0000-0000-0000E90A0000}"/>
    <cellStyle name="Heading 2 4 2" xfId="2909" xr:uid="{00000000-0005-0000-0000-0000EA0A0000}"/>
    <cellStyle name="Heading 3" xfId="253" builtinId="18" customBuiltin="1"/>
    <cellStyle name="Heading 3 2" xfId="64" xr:uid="{00000000-0005-0000-0000-0000EC0A0000}"/>
    <cellStyle name="Heading 3 2 2" xfId="204" xr:uid="{00000000-0005-0000-0000-0000ED0A0000}"/>
    <cellStyle name="Heading 3 2 2 2" xfId="2911" xr:uid="{00000000-0005-0000-0000-0000EE0A0000}"/>
    <cellStyle name="Heading 3 2 2 3" xfId="2910" xr:uid="{00000000-0005-0000-0000-0000EF0A0000}"/>
    <cellStyle name="Heading 3 2 3" xfId="2912" xr:uid="{00000000-0005-0000-0000-0000F00A0000}"/>
    <cellStyle name="Heading 3 2 4" xfId="2913" xr:uid="{00000000-0005-0000-0000-0000F10A0000}"/>
    <cellStyle name="Heading 3 3" xfId="203" xr:uid="{00000000-0005-0000-0000-0000F20A0000}"/>
    <cellStyle name="Heading 3 3 2" xfId="2915" xr:uid="{00000000-0005-0000-0000-0000F30A0000}"/>
    <cellStyle name="Heading 3 3 3" xfId="2916" xr:uid="{00000000-0005-0000-0000-0000F40A0000}"/>
    <cellStyle name="Heading 3 3 4" xfId="2914" xr:uid="{00000000-0005-0000-0000-0000F50A0000}"/>
    <cellStyle name="Heading 3 4" xfId="2917" xr:uid="{00000000-0005-0000-0000-0000F60A0000}"/>
    <cellStyle name="Heading 3 4 2" xfId="2918" xr:uid="{00000000-0005-0000-0000-0000F70A0000}"/>
    <cellStyle name="Heading 4" xfId="254" builtinId="19" customBuiltin="1"/>
    <cellStyle name="Heading 4 2" xfId="206" xr:uid="{00000000-0005-0000-0000-0000F90A0000}"/>
    <cellStyle name="Heading 4 2 2" xfId="2920" xr:uid="{00000000-0005-0000-0000-0000FA0A0000}"/>
    <cellStyle name="Heading 4 2 2 2" xfId="2921" xr:uid="{00000000-0005-0000-0000-0000FB0A0000}"/>
    <cellStyle name="Heading 4 2 3" xfId="2922" xr:uid="{00000000-0005-0000-0000-0000FC0A0000}"/>
    <cellStyle name="Heading 4 2 4" xfId="2919" xr:uid="{00000000-0005-0000-0000-0000FD0A0000}"/>
    <cellStyle name="Heading 4 3" xfId="205" xr:uid="{00000000-0005-0000-0000-0000FE0A0000}"/>
    <cellStyle name="Heading 4 3 2" xfId="2924" xr:uid="{00000000-0005-0000-0000-0000FF0A0000}"/>
    <cellStyle name="Heading 4 3 3" xfId="2923" xr:uid="{00000000-0005-0000-0000-0000000B0000}"/>
    <cellStyle name="Heading 4 4" xfId="2925" xr:uid="{00000000-0005-0000-0000-0000010B0000}"/>
    <cellStyle name="Hyperlink 2" xfId="65" xr:uid="{00000000-0005-0000-0000-0000020B0000}"/>
    <cellStyle name="Hyperlink 2 2" xfId="207" xr:uid="{00000000-0005-0000-0000-0000030B0000}"/>
    <cellStyle name="Hyperlink 2 2 2" xfId="2927" xr:uid="{00000000-0005-0000-0000-0000040B0000}"/>
    <cellStyle name="Hyperlink 2 2 3" xfId="2928" xr:uid="{00000000-0005-0000-0000-0000050B0000}"/>
    <cellStyle name="Hyperlink 2 2 4" xfId="2929" xr:uid="{00000000-0005-0000-0000-0000060B0000}"/>
    <cellStyle name="Hyperlink 2 2 5" xfId="2930" xr:uid="{00000000-0005-0000-0000-0000070B0000}"/>
    <cellStyle name="Hyperlink 2 2 6" xfId="2926" xr:uid="{00000000-0005-0000-0000-0000080B0000}"/>
    <cellStyle name="Hyperlink 2 3" xfId="2931" xr:uid="{00000000-0005-0000-0000-0000090B0000}"/>
    <cellStyle name="Hyperlink 2 3 2" xfId="2932" xr:uid="{00000000-0005-0000-0000-00000A0B0000}"/>
    <cellStyle name="Hyperlink 2 4" xfId="2933" xr:uid="{00000000-0005-0000-0000-00000B0B0000}"/>
    <cellStyle name="Hyperlink 3" xfId="66" xr:uid="{00000000-0005-0000-0000-00000C0B0000}"/>
    <cellStyle name="Hyperlink 3 2" xfId="208" xr:uid="{00000000-0005-0000-0000-00000D0B0000}"/>
    <cellStyle name="Hyperlink 3 2 2" xfId="2935" xr:uid="{00000000-0005-0000-0000-00000E0B0000}"/>
    <cellStyle name="Hyperlink 3 2 3" xfId="2934" xr:uid="{00000000-0005-0000-0000-00000F0B0000}"/>
    <cellStyle name="Hyperlink 3 3" xfId="2936" xr:uid="{00000000-0005-0000-0000-0000100B0000}"/>
    <cellStyle name="Hyperlink 4" xfId="2937" xr:uid="{00000000-0005-0000-0000-0000110B0000}"/>
    <cellStyle name="Hyperlink 4 2" xfId="2938" xr:uid="{00000000-0005-0000-0000-0000120B0000}"/>
    <cellStyle name="Hyperlink 5" xfId="2939" xr:uid="{00000000-0005-0000-0000-0000130B0000}"/>
    <cellStyle name="Input" xfId="258" builtinId="20" customBuiltin="1"/>
    <cellStyle name="Input 2" xfId="210" xr:uid="{00000000-0005-0000-0000-0000150B0000}"/>
    <cellStyle name="Input 2 2" xfId="2941" xr:uid="{00000000-0005-0000-0000-0000160B0000}"/>
    <cellStyle name="Input 2 2 2" xfId="2942" xr:uid="{00000000-0005-0000-0000-0000170B0000}"/>
    <cellStyle name="Input 2 2 2 2" xfId="2943" xr:uid="{00000000-0005-0000-0000-0000180B0000}"/>
    <cellStyle name="Input 2 2 2 2 2" xfId="2944" xr:uid="{00000000-0005-0000-0000-0000190B0000}"/>
    <cellStyle name="Input 2 2 2 2 3" xfId="2945" xr:uid="{00000000-0005-0000-0000-00001A0B0000}"/>
    <cellStyle name="Input 2 2 2 2 4" xfId="2946" xr:uid="{00000000-0005-0000-0000-00001B0B0000}"/>
    <cellStyle name="Input 2 2 2 2 5" xfId="2947" xr:uid="{00000000-0005-0000-0000-00001C0B0000}"/>
    <cellStyle name="Input 2 2 2 3" xfId="2948" xr:uid="{00000000-0005-0000-0000-00001D0B0000}"/>
    <cellStyle name="Input 2 2 3" xfId="2949" xr:uid="{00000000-0005-0000-0000-00001E0B0000}"/>
    <cellStyle name="Input 2 2 3 2" xfId="2950" xr:uid="{00000000-0005-0000-0000-00001F0B0000}"/>
    <cellStyle name="Input 2 2 3 3" xfId="2951" xr:uid="{00000000-0005-0000-0000-0000200B0000}"/>
    <cellStyle name="Input 2 2 3 4" xfId="2952" xr:uid="{00000000-0005-0000-0000-0000210B0000}"/>
    <cellStyle name="Input 2 2 3 5" xfId="2953" xr:uid="{00000000-0005-0000-0000-0000220B0000}"/>
    <cellStyle name="Input 2 2 4" xfId="2954" xr:uid="{00000000-0005-0000-0000-0000230B0000}"/>
    <cellStyle name="Input 2 3" xfId="2955" xr:uid="{00000000-0005-0000-0000-0000240B0000}"/>
    <cellStyle name="Input 2 3 2" xfId="2956" xr:uid="{00000000-0005-0000-0000-0000250B0000}"/>
    <cellStyle name="Input 2 3 2 2" xfId="2957" xr:uid="{00000000-0005-0000-0000-0000260B0000}"/>
    <cellStyle name="Input 2 3 2 3" xfId="2958" xr:uid="{00000000-0005-0000-0000-0000270B0000}"/>
    <cellStyle name="Input 2 3 2 4" xfId="2959" xr:uid="{00000000-0005-0000-0000-0000280B0000}"/>
    <cellStyle name="Input 2 3 2 5" xfId="2960" xr:uid="{00000000-0005-0000-0000-0000290B0000}"/>
    <cellStyle name="Input 2 3 3" xfId="2961" xr:uid="{00000000-0005-0000-0000-00002A0B0000}"/>
    <cellStyle name="Input 2 4" xfId="2962" xr:uid="{00000000-0005-0000-0000-00002B0B0000}"/>
    <cellStyle name="Input 2 4 2" xfId="2963" xr:uid="{00000000-0005-0000-0000-00002C0B0000}"/>
    <cellStyle name="Input 2 4 3" xfId="2964" xr:uid="{00000000-0005-0000-0000-00002D0B0000}"/>
    <cellStyle name="Input 2 4 4" xfId="2965" xr:uid="{00000000-0005-0000-0000-00002E0B0000}"/>
    <cellStyle name="Input 2 4 5" xfId="2966" xr:uid="{00000000-0005-0000-0000-00002F0B0000}"/>
    <cellStyle name="Input 2 5" xfId="2967" xr:uid="{00000000-0005-0000-0000-0000300B0000}"/>
    <cellStyle name="Input 2 6" xfId="2940" xr:uid="{00000000-0005-0000-0000-0000310B0000}"/>
    <cellStyle name="Input 3" xfId="209" xr:uid="{00000000-0005-0000-0000-0000320B0000}"/>
    <cellStyle name="Input 3 2" xfId="2969" xr:uid="{00000000-0005-0000-0000-0000330B0000}"/>
    <cellStyle name="Input 3 2 2" xfId="2970" xr:uid="{00000000-0005-0000-0000-0000340B0000}"/>
    <cellStyle name="Input 3 2 2 2" xfId="2971" xr:uid="{00000000-0005-0000-0000-0000350B0000}"/>
    <cellStyle name="Input 3 2 2 3" xfId="2972" xr:uid="{00000000-0005-0000-0000-0000360B0000}"/>
    <cellStyle name="Input 3 2 2 4" xfId="2973" xr:uid="{00000000-0005-0000-0000-0000370B0000}"/>
    <cellStyle name="Input 3 2 2 5" xfId="2974" xr:uid="{00000000-0005-0000-0000-0000380B0000}"/>
    <cellStyle name="Input 3 2 3" xfId="2975" xr:uid="{00000000-0005-0000-0000-0000390B0000}"/>
    <cellStyle name="Input 3 3" xfId="2976" xr:uid="{00000000-0005-0000-0000-00003A0B0000}"/>
    <cellStyle name="Input 3 3 2" xfId="2977" xr:uid="{00000000-0005-0000-0000-00003B0B0000}"/>
    <cellStyle name="Input 3 3 3" xfId="2978" xr:uid="{00000000-0005-0000-0000-00003C0B0000}"/>
    <cellStyle name="Input 3 3 4" xfId="2979" xr:uid="{00000000-0005-0000-0000-00003D0B0000}"/>
    <cellStyle name="Input 3 3 5" xfId="2980" xr:uid="{00000000-0005-0000-0000-00003E0B0000}"/>
    <cellStyle name="Input 3 4" xfId="2981" xr:uid="{00000000-0005-0000-0000-00003F0B0000}"/>
    <cellStyle name="Input 3 4 2" xfId="2982" xr:uid="{00000000-0005-0000-0000-0000400B0000}"/>
    <cellStyle name="Input 3 4 3" xfId="2983" xr:uid="{00000000-0005-0000-0000-0000410B0000}"/>
    <cellStyle name="Input 3 4 4" xfId="2984" xr:uid="{00000000-0005-0000-0000-0000420B0000}"/>
    <cellStyle name="Input 3 4 5" xfId="2985" xr:uid="{00000000-0005-0000-0000-0000430B0000}"/>
    <cellStyle name="Input 3 5" xfId="2968" xr:uid="{00000000-0005-0000-0000-0000440B0000}"/>
    <cellStyle name="Input 4" xfId="2986" xr:uid="{00000000-0005-0000-0000-0000450B0000}"/>
    <cellStyle name="input(0)" xfId="67" xr:uid="{00000000-0005-0000-0000-0000460B0000}"/>
    <cellStyle name="Input(2)" xfId="68" xr:uid="{00000000-0005-0000-0000-0000470B0000}"/>
    <cellStyle name="Labels" xfId="2987" xr:uid="{00000000-0005-0000-0000-0000480B0000}"/>
    <cellStyle name="Labels - Style3" xfId="2988" xr:uid="{00000000-0005-0000-0000-0000490B0000}"/>
    <cellStyle name="Labels - Style3 2" xfId="2989" xr:uid="{00000000-0005-0000-0000-00004A0B0000}"/>
    <cellStyle name="Labels - Style3 3" xfId="2990" xr:uid="{00000000-0005-0000-0000-00004B0B0000}"/>
    <cellStyle name="Labels - Style3 4" xfId="2991" xr:uid="{00000000-0005-0000-0000-00004C0B0000}"/>
    <cellStyle name="Labels - Style3 5" xfId="2992" xr:uid="{00000000-0005-0000-0000-00004D0B0000}"/>
    <cellStyle name="Labels 2" xfId="2993" xr:uid="{00000000-0005-0000-0000-00004E0B0000}"/>
    <cellStyle name="Labels 2 2" xfId="2994" xr:uid="{00000000-0005-0000-0000-00004F0B0000}"/>
    <cellStyle name="Labels 3" xfId="2995" xr:uid="{00000000-0005-0000-0000-0000500B0000}"/>
    <cellStyle name="Labels 4" xfId="2996" xr:uid="{00000000-0005-0000-0000-0000510B0000}"/>
    <cellStyle name="Labels 5" xfId="2997" xr:uid="{00000000-0005-0000-0000-0000520B0000}"/>
    <cellStyle name="Labels 6" xfId="2998" xr:uid="{00000000-0005-0000-0000-0000530B0000}"/>
    <cellStyle name="Labels 7" xfId="2999" xr:uid="{00000000-0005-0000-0000-0000540B0000}"/>
    <cellStyle name="Linked Cell" xfId="260" builtinId="24" customBuiltin="1"/>
    <cellStyle name="Linked Cell 2" xfId="69" xr:uid="{00000000-0005-0000-0000-0000560B0000}"/>
    <cellStyle name="Linked Cell 2 2" xfId="212" xr:uid="{00000000-0005-0000-0000-0000570B0000}"/>
    <cellStyle name="Linked Cell 2 2 2" xfId="3000" xr:uid="{00000000-0005-0000-0000-0000580B0000}"/>
    <cellStyle name="Linked Cell 2 3" xfId="3001" xr:uid="{00000000-0005-0000-0000-0000590B0000}"/>
    <cellStyle name="Linked Cell 2 4" xfId="3002" xr:uid="{00000000-0005-0000-0000-00005A0B0000}"/>
    <cellStyle name="Linked Cell 3" xfId="211" xr:uid="{00000000-0005-0000-0000-00005B0B0000}"/>
    <cellStyle name="Linked Cell 3 2" xfId="3004" xr:uid="{00000000-0005-0000-0000-00005C0B0000}"/>
    <cellStyle name="Linked Cell 3 3" xfId="3003" xr:uid="{00000000-0005-0000-0000-00005D0B0000}"/>
    <cellStyle name="Linked Cell 4" xfId="3005" xr:uid="{00000000-0005-0000-0000-00005E0B0000}"/>
    <cellStyle name="Neutral" xfId="257" builtinId="28" customBuiltin="1"/>
    <cellStyle name="Neutral 2" xfId="70" xr:uid="{00000000-0005-0000-0000-0000600B0000}"/>
    <cellStyle name="Neutral 2 2" xfId="214" xr:uid="{00000000-0005-0000-0000-0000610B0000}"/>
    <cellStyle name="Neutral 2 2 2" xfId="3007" xr:uid="{00000000-0005-0000-0000-0000620B0000}"/>
    <cellStyle name="Neutral 2 2 3" xfId="3006" xr:uid="{00000000-0005-0000-0000-0000630B0000}"/>
    <cellStyle name="Neutral 2 3" xfId="3008" xr:uid="{00000000-0005-0000-0000-0000640B0000}"/>
    <cellStyle name="Neutral 2 4" xfId="3009" xr:uid="{00000000-0005-0000-0000-0000650B0000}"/>
    <cellStyle name="Neutral 3" xfId="213" xr:uid="{00000000-0005-0000-0000-0000660B0000}"/>
    <cellStyle name="Neutral 3 2" xfId="3011" xr:uid="{00000000-0005-0000-0000-0000670B0000}"/>
    <cellStyle name="Neutral 3 3" xfId="3010" xr:uid="{00000000-0005-0000-0000-0000680B0000}"/>
    <cellStyle name="Neutral 4" xfId="3012" xr:uid="{00000000-0005-0000-0000-0000690B0000}"/>
    <cellStyle name="New_normal" xfId="71" xr:uid="{00000000-0005-0000-0000-00006A0B0000}"/>
    <cellStyle name="Normal" xfId="0" builtinId="0"/>
    <cellStyle name="Normal - Style1" xfId="72" xr:uid="{00000000-0005-0000-0000-00006C0B0000}"/>
    <cellStyle name="Normal - Style2" xfId="73" xr:uid="{00000000-0005-0000-0000-00006D0B0000}"/>
    <cellStyle name="Normal - Style3" xfId="74" xr:uid="{00000000-0005-0000-0000-00006E0B0000}"/>
    <cellStyle name="Normal - Style4" xfId="75" xr:uid="{00000000-0005-0000-0000-00006F0B0000}"/>
    <cellStyle name="Normal - Style5" xfId="76" xr:uid="{00000000-0005-0000-0000-0000700B0000}"/>
    <cellStyle name="Normal - Style6" xfId="3013" xr:uid="{00000000-0005-0000-0000-0000710B0000}"/>
    <cellStyle name="Normal - Style7" xfId="3014" xr:uid="{00000000-0005-0000-0000-0000720B0000}"/>
    <cellStyle name="Normal - Style8" xfId="3015" xr:uid="{00000000-0005-0000-0000-0000730B0000}"/>
    <cellStyle name="Normal 10" xfId="77" xr:uid="{00000000-0005-0000-0000-0000740B0000}"/>
    <cellStyle name="Normal 10 10" xfId="3016" xr:uid="{00000000-0005-0000-0000-0000750B0000}"/>
    <cellStyle name="Normal 10 2" xfId="78" xr:uid="{00000000-0005-0000-0000-0000760B0000}"/>
    <cellStyle name="Normal 10 2 2" xfId="215" xr:uid="{00000000-0005-0000-0000-0000770B0000}"/>
    <cellStyle name="Normal 10 2 2 2" xfId="3018" xr:uid="{00000000-0005-0000-0000-0000780B0000}"/>
    <cellStyle name="Normal 10 2 2 2 2" xfId="3019" xr:uid="{00000000-0005-0000-0000-0000790B0000}"/>
    <cellStyle name="Normal 10 2 2 2 2 2" xfId="3020" xr:uid="{00000000-0005-0000-0000-00007A0B0000}"/>
    <cellStyle name="Normal 10 2 2 2 2 2 2" xfId="3021" xr:uid="{00000000-0005-0000-0000-00007B0B0000}"/>
    <cellStyle name="Normal 10 2 2 2 2 2 2 2" xfId="3022" xr:uid="{00000000-0005-0000-0000-00007C0B0000}"/>
    <cellStyle name="Normal 10 2 2 2 2 2 3" xfId="3023" xr:uid="{00000000-0005-0000-0000-00007D0B0000}"/>
    <cellStyle name="Normal 10 2 2 2 2 2 3 2" xfId="3024" xr:uid="{00000000-0005-0000-0000-00007E0B0000}"/>
    <cellStyle name="Normal 10 2 2 2 2 2 4" xfId="3025" xr:uid="{00000000-0005-0000-0000-00007F0B0000}"/>
    <cellStyle name="Normal 10 2 2 2 2 3" xfId="3026" xr:uid="{00000000-0005-0000-0000-0000800B0000}"/>
    <cellStyle name="Normal 10 2 2 2 2 3 2" xfId="3027" xr:uid="{00000000-0005-0000-0000-0000810B0000}"/>
    <cellStyle name="Normal 10 2 2 2 2 4" xfId="3028" xr:uid="{00000000-0005-0000-0000-0000820B0000}"/>
    <cellStyle name="Normal 10 2 2 2 2 4 2" xfId="3029" xr:uid="{00000000-0005-0000-0000-0000830B0000}"/>
    <cellStyle name="Normal 10 2 2 2 2 5" xfId="3030" xr:uid="{00000000-0005-0000-0000-0000840B0000}"/>
    <cellStyle name="Normal 10 2 2 2 3" xfId="3031" xr:uid="{00000000-0005-0000-0000-0000850B0000}"/>
    <cellStyle name="Normal 10 2 2 2 3 2" xfId="3032" xr:uid="{00000000-0005-0000-0000-0000860B0000}"/>
    <cellStyle name="Normal 10 2 2 2 3 2 2" xfId="3033" xr:uid="{00000000-0005-0000-0000-0000870B0000}"/>
    <cellStyle name="Normal 10 2 2 2 3 3" xfId="3034" xr:uid="{00000000-0005-0000-0000-0000880B0000}"/>
    <cellStyle name="Normal 10 2 2 2 3 3 2" xfId="3035" xr:uid="{00000000-0005-0000-0000-0000890B0000}"/>
    <cellStyle name="Normal 10 2 2 2 3 4" xfId="3036" xr:uid="{00000000-0005-0000-0000-00008A0B0000}"/>
    <cellStyle name="Normal 10 2 2 2 4" xfId="3037" xr:uid="{00000000-0005-0000-0000-00008B0B0000}"/>
    <cellStyle name="Normal 10 2 2 2 4 2" xfId="3038" xr:uid="{00000000-0005-0000-0000-00008C0B0000}"/>
    <cellStyle name="Normal 10 2 2 2 5" xfId="3039" xr:uid="{00000000-0005-0000-0000-00008D0B0000}"/>
    <cellStyle name="Normal 10 2 2 2 5 2" xfId="3040" xr:uid="{00000000-0005-0000-0000-00008E0B0000}"/>
    <cellStyle name="Normal 10 2 2 2 6" xfId="3041" xr:uid="{00000000-0005-0000-0000-00008F0B0000}"/>
    <cellStyle name="Normal 10 2 2 3" xfId="3042" xr:uid="{00000000-0005-0000-0000-0000900B0000}"/>
    <cellStyle name="Normal 10 2 2 3 2" xfId="3043" xr:uid="{00000000-0005-0000-0000-0000910B0000}"/>
    <cellStyle name="Normal 10 2 2 3 2 2" xfId="3044" xr:uid="{00000000-0005-0000-0000-0000920B0000}"/>
    <cellStyle name="Normal 10 2 2 3 2 2 2" xfId="3045" xr:uid="{00000000-0005-0000-0000-0000930B0000}"/>
    <cellStyle name="Normal 10 2 2 3 2 3" xfId="3046" xr:uid="{00000000-0005-0000-0000-0000940B0000}"/>
    <cellStyle name="Normal 10 2 2 3 2 3 2" xfId="3047" xr:uid="{00000000-0005-0000-0000-0000950B0000}"/>
    <cellStyle name="Normal 10 2 2 3 2 4" xfId="3048" xr:uid="{00000000-0005-0000-0000-0000960B0000}"/>
    <cellStyle name="Normal 10 2 2 3 3" xfId="3049" xr:uid="{00000000-0005-0000-0000-0000970B0000}"/>
    <cellStyle name="Normal 10 2 2 3 3 2" xfId="3050" xr:uid="{00000000-0005-0000-0000-0000980B0000}"/>
    <cellStyle name="Normal 10 2 2 3 4" xfId="3051" xr:uid="{00000000-0005-0000-0000-0000990B0000}"/>
    <cellStyle name="Normal 10 2 2 3 4 2" xfId="3052" xr:uid="{00000000-0005-0000-0000-00009A0B0000}"/>
    <cellStyle name="Normal 10 2 2 3 5" xfId="3053" xr:uid="{00000000-0005-0000-0000-00009B0B0000}"/>
    <cellStyle name="Normal 10 2 2 4" xfId="3054" xr:uid="{00000000-0005-0000-0000-00009C0B0000}"/>
    <cellStyle name="Normal 10 2 2 4 2" xfId="3055" xr:uid="{00000000-0005-0000-0000-00009D0B0000}"/>
    <cellStyle name="Normal 10 2 2 4 2 2" xfId="3056" xr:uid="{00000000-0005-0000-0000-00009E0B0000}"/>
    <cellStyle name="Normal 10 2 2 4 3" xfId="3057" xr:uid="{00000000-0005-0000-0000-00009F0B0000}"/>
    <cellStyle name="Normal 10 2 2 4 3 2" xfId="3058" xr:uid="{00000000-0005-0000-0000-0000A00B0000}"/>
    <cellStyle name="Normal 10 2 2 4 4" xfId="3059" xr:uid="{00000000-0005-0000-0000-0000A10B0000}"/>
    <cellStyle name="Normal 10 2 2 5" xfId="3060" xr:uid="{00000000-0005-0000-0000-0000A20B0000}"/>
    <cellStyle name="Normal 10 2 2 5 2" xfId="3061" xr:uid="{00000000-0005-0000-0000-0000A30B0000}"/>
    <cellStyle name="Normal 10 2 2 6" xfId="3062" xr:uid="{00000000-0005-0000-0000-0000A40B0000}"/>
    <cellStyle name="Normal 10 2 2 6 2" xfId="3063" xr:uid="{00000000-0005-0000-0000-0000A50B0000}"/>
    <cellStyle name="Normal 10 2 2 7" xfId="3064" xr:uid="{00000000-0005-0000-0000-0000A60B0000}"/>
    <cellStyle name="Normal 10 2 2 8" xfId="3017" xr:uid="{00000000-0005-0000-0000-0000A70B0000}"/>
    <cellStyle name="Normal 10 2 3" xfId="3065" xr:uid="{00000000-0005-0000-0000-0000A80B0000}"/>
    <cellStyle name="Normal 10 2 3 2" xfId="3066" xr:uid="{00000000-0005-0000-0000-0000A90B0000}"/>
    <cellStyle name="Normal 10 2 3 2 2" xfId="3067" xr:uid="{00000000-0005-0000-0000-0000AA0B0000}"/>
    <cellStyle name="Normal 10 2 3 2 2 2" xfId="3068" xr:uid="{00000000-0005-0000-0000-0000AB0B0000}"/>
    <cellStyle name="Normal 10 2 3 2 2 2 2" xfId="3069" xr:uid="{00000000-0005-0000-0000-0000AC0B0000}"/>
    <cellStyle name="Normal 10 2 3 2 2 3" xfId="3070" xr:uid="{00000000-0005-0000-0000-0000AD0B0000}"/>
    <cellStyle name="Normal 10 2 3 2 2 3 2" xfId="3071" xr:uid="{00000000-0005-0000-0000-0000AE0B0000}"/>
    <cellStyle name="Normal 10 2 3 2 2 4" xfId="3072" xr:uid="{00000000-0005-0000-0000-0000AF0B0000}"/>
    <cellStyle name="Normal 10 2 3 2 3" xfId="3073" xr:uid="{00000000-0005-0000-0000-0000B00B0000}"/>
    <cellStyle name="Normal 10 2 3 2 3 2" xfId="3074" xr:uid="{00000000-0005-0000-0000-0000B10B0000}"/>
    <cellStyle name="Normal 10 2 3 2 4" xfId="3075" xr:uid="{00000000-0005-0000-0000-0000B20B0000}"/>
    <cellStyle name="Normal 10 2 3 2 4 2" xfId="3076" xr:uid="{00000000-0005-0000-0000-0000B30B0000}"/>
    <cellStyle name="Normal 10 2 3 2 5" xfId="3077" xr:uid="{00000000-0005-0000-0000-0000B40B0000}"/>
    <cellStyle name="Normal 10 2 3 3" xfId="3078" xr:uid="{00000000-0005-0000-0000-0000B50B0000}"/>
    <cellStyle name="Normal 10 2 3 3 2" xfId="3079" xr:uid="{00000000-0005-0000-0000-0000B60B0000}"/>
    <cellStyle name="Normal 10 2 3 3 2 2" xfId="3080" xr:uid="{00000000-0005-0000-0000-0000B70B0000}"/>
    <cellStyle name="Normal 10 2 3 3 3" xfId="3081" xr:uid="{00000000-0005-0000-0000-0000B80B0000}"/>
    <cellStyle name="Normal 10 2 3 3 3 2" xfId="3082" xr:uid="{00000000-0005-0000-0000-0000B90B0000}"/>
    <cellStyle name="Normal 10 2 3 3 4" xfId="3083" xr:uid="{00000000-0005-0000-0000-0000BA0B0000}"/>
    <cellStyle name="Normal 10 2 3 4" xfId="3084" xr:uid="{00000000-0005-0000-0000-0000BB0B0000}"/>
    <cellStyle name="Normal 10 2 3 4 2" xfId="3085" xr:uid="{00000000-0005-0000-0000-0000BC0B0000}"/>
    <cellStyle name="Normal 10 2 3 5" xfId="3086" xr:uid="{00000000-0005-0000-0000-0000BD0B0000}"/>
    <cellStyle name="Normal 10 2 3 5 2" xfId="3087" xr:uid="{00000000-0005-0000-0000-0000BE0B0000}"/>
    <cellStyle name="Normal 10 2 3 6" xfId="3088" xr:uid="{00000000-0005-0000-0000-0000BF0B0000}"/>
    <cellStyle name="Normal 10 2 4" xfId="3089" xr:uid="{00000000-0005-0000-0000-0000C00B0000}"/>
    <cellStyle name="Normal 10 2 4 2" xfId="3090" xr:uid="{00000000-0005-0000-0000-0000C10B0000}"/>
    <cellStyle name="Normal 10 2 4 2 2" xfId="3091" xr:uid="{00000000-0005-0000-0000-0000C20B0000}"/>
    <cellStyle name="Normal 10 2 4 2 2 2" xfId="3092" xr:uid="{00000000-0005-0000-0000-0000C30B0000}"/>
    <cellStyle name="Normal 10 2 4 2 3" xfId="3093" xr:uid="{00000000-0005-0000-0000-0000C40B0000}"/>
    <cellStyle name="Normal 10 2 4 2 3 2" xfId="3094" xr:uid="{00000000-0005-0000-0000-0000C50B0000}"/>
    <cellStyle name="Normal 10 2 4 2 4" xfId="3095" xr:uid="{00000000-0005-0000-0000-0000C60B0000}"/>
    <cellStyle name="Normal 10 2 4 3" xfId="3096" xr:uid="{00000000-0005-0000-0000-0000C70B0000}"/>
    <cellStyle name="Normal 10 2 4 3 2" xfId="3097" xr:uid="{00000000-0005-0000-0000-0000C80B0000}"/>
    <cellStyle name="Normal 10 2 4 4" xfId="3098" xr:uid="{00000000-0005-0000-0000-0000C90B0000}"/>
    <cellStyle name="Normal 10 2 4 4 2" xfId="3099" xr:uid="{00000000-0005-0000-0000-0000CA0B0000}"/>
    <cellStyle name="Normal 10 2 4 5" xfId="3100" xr:uid="{00000000-0005-0000-0000-0000CB0B0000}"/>
    <cellStyle name="Normal 10 2 5" xfId="3101" xr:uid="{00000000-0005-0000-0000-0000CC0B0000}"/>
    <cellStyle name="Normal 10 2 5 2" xfId="3102" xr:uid="{00000000-0005-0000-0000-0000CD0B0000}"/>
    <cellStyle name="Normal 10 2 5 2 2" xfId="3103" xr:uid="{00000000-0005-0000-0000-0000CE0B0000}"/>
    <cellStyle name="Normal 10 2 5 3" xfId="3104" xr:uid="{00000000-0005-0000-0000-0000CF0B0000}"/>
    <cellStyle name="Normal 10 2 5 3 2" xfId="3105" xr:uid="{00000000-0005-0000-0000-0000D00B0000}"/>
    <cellStyle name="Normal 10 2 5 4" xfId="3106" xr:uid="{00000000-0005-0000-0000-0000D10B0000}"/>
    <cellStyle name="Normal 10 2 6" xfId="3107" xr:uid="{00000000-0005-0000-0000-0000D20B0000}"/>
    <cellStyle name="Normal 10 2 6 2" xfId="3108" xr:uid="{00000000-0005-0000-0000-0000D30B0000}"/>
    <cellStyle name="Normal 10 2 7" xfId="3109" xr:uid="{00000000-0005-0000-0000-0000D40B0000}"/>
    <cellStyle name="Normal 10 2 7 2" xfId="3110" xr:uid="{00000000-0005-0000-0000-0000D50B0000}"/>
    <cellStyle name="Normal 10 2 8" xfId="3111" xr:uid="{00000000-0005-0000-0000-0000D60B0000}"/>
    <cellStyle name="Normal 10 3" xfId="3112" xr:uid="{00000000-0005-0000-0000-0000D70B0000}"/>
    <cellStyle name="Normal 10 3 2" xfId="3113" xr:uid="{00000000-0005-0000-0000-0000D80B0000}"/>
    <cellStyle name="Normal 10 3 2 2" xfId="3114" xr:uid="{00000000-0005-0000-0000-0000D90B0000}"/>
    <cellStyle name="Normal 10 3 2 2 2" xfId="3115" xr:uid="{00000000-0005-0000-0000-0000DA0B0000}"/>
    <cellStyle name="Normal 10 3 2 2 2 2" xfId="3116" xr:uid="{00000000-0005-0000-0000-0000DB0B0000}"/>
    <cellStyle name="Normal 10 3 2 2 2 2 2" xfId="3117" xr:uid="{00000000-0005-0000-0000-0000DC0B0000}"/>
    <cellStyle name="Normal 10 3 2 2 2 3" xfId="3118" xr:uid="{00000000-0005-0000-0000-0000DD0B0000}"/>
    <cellStyle name="Normal 10 3 2 2 2 3 2" xfId="3119" xr:uid="{00000000-0005-0000-0000-0000DE0B0000}"/>
    <cellStyle name="Normal 10 3 2 2 2 4" xfId="3120" xr:uid="{00000000-0005-0000-0000-0000DF0B0000}"/>
    <cellStyle name="Normal 10 3 2 2 3" xfId="3121" xr:uid="{00000000-0005-0000-0000-0000E00B0000}"/>
    <cellStyle name="Normal 10 3 2 2 3 2" xfId="3122" xr:uid="{00000000-0005-0000-0000-0000E10B0000}"/>
    <cellStyle name="Normal 10 3 2 2 4" xfId="3123" xr:uid="{00000000-0005-0000-0000-0000E20B0000}"/>
    <cellStyle name="Normal 10 3 2 2 4 2" xfId="3124" xr:uid="{00000000-0005-0000-0000-0000E30B0000}"/>
    <cellStyle name="Normal 10 3 2 2 5" xfId="3125" xr:uid="{00000000-0005-0000-0000-0000E40B0000}"/>
    <cellStyle name="Normal 10 3 2 3" xfId="3126" xr:uid="{00000000-0005-0000-0000-0000E50B0000}"/>
    <cellStyle name="Normal 10 3 2 3 2" xfId="3127" xr:uid="{00000000-0005-0000-0000-0000E60B0000}"/>
    <cellStyle name="Normal 10 3 2 3 2 2" xfId="3128" xr:uid="{00000000-0005-0000-0000-0000E70B0000}"/>
    <cellStyle name="Normal 10 3 2 3 3" xfId="3129" xr:uid="{00000000-0005-0000-0000-0000E80B0000}"/>
    <cellStyle name="Normal 10 3 2 3 3 2" xfId="3130" xr:uid="{00000000-0005-0000-0000-0000E90B0000}"/>
    <cellStyle name="Normal 10 3 2 3 4" xfId="3131" xr:uid="{00000000-0005-0000-0000-0000EA0B0000}"/>
    <cellStyle name="Normal 10 3 2 4" xfId="3132" xr:uid="{00000000-0005-0000-0000-0000EB0B0000}"/>
    <cellStyle name="Normal 10 3 2 4 2" xfId="3133" xr:uid="{00000000-0005-0000-0000-0000EC0B0000}"/>
    <cellStyle name="Normal 10 3 2 5" xfId="3134" xr:uid="{00000000-0005-0000-0000-0000ED0B0000}"/>
    <cellStyle name="Normal 10 3 2 5 2" xfId="3135" xr:uid="{00000000-0005-0000-0000-0000EE0B0000}"/>
    <cellStyle name="Normal 10 3 2 6" xfId="3136" xr:uid="{00000000-0005-0000-0000-0000EF0B0000}"/>
    <cellStyle name="Normal 10 3 3" xfId="3137" xr:uid="{00000000-0005-0000-0000-0000F00B0000}"/>
    <cellStyle name="Normal 10 3 3 2" xfId="3138" xr:uid="{00000000-0005-0000-0000-0000F10B0000}"/>
    <cellStyle name="Normal 10 3 3 2 2" xfId="3139" xr:uid="{00000000-0005-0000-0000-0000F20B0000}"/>
    <cellStyle name="Normal 10 3 3 2 2 2" xfId="3140" xr:uid="{00000000-0005-0000-0000-0000F30B0000}"/>
    <cellStyle name="Normal 10 3 3 2 3" xfId="3141" xr:uid="{00000000-0005-0000-0000-0000F40B0000}"/>
    <cellStyle name="Normal 10 3 3 2 3 2" xfId="3142" xr:uid="{00000000-0005-0000-0000-0000F50B0000}"/>
    <cellStyle name="Normal 10 3 3 2 4" xfId="3143" xr:uid="{00000000-0005-0000-0000-0000F60B0000}"/>
    <cellStyle name="Normal 10 3 3 3" xfId="3144" xr:uid="{00000000-0005-0000-0000-0000F70B0000}"/>
    <cellStyle name="Normal 10 3 3 3 2" xfId="3145" xr:uid="{00000000-0005-0000-0000-0000F80B0000}"/>
    <cellStyle name="Normal 10 3 3 4" xfId="3146" xr:uid="{00000000-0005-0000-0000-0000F90B0000}"/>
    <cellStyle name="Normal 10 3 3 4 2" xfId="3147" xr:uid="{00000000-0005-0000-0000-0000FA0B0000}"/>
    <cellStyle name="Normal 10 3 3 5" xfId="3148" xr:uid="{00000000-0005-0000-0000-0000FB0B0000}"/>
    <cellStyle name="Normal 10 3 4" xfId="3149" xr:uid="{00000000-0005-0000-0000-0000FC0B0000}"/>
    <cellStyle name="Normal 10 3 4 2" xfId="3150" xr:uid="{00000000-0005-0000-0000-0000FD0B0000}"/>
    <cellStyle name="Normal 10 3 4 2 2" xfId="3151" xr:uid="{00000000-0005-0000-0000-0000FE0B0000}"/>
    <cellStyle name="Normal 10 3 4 3" xfId="3152" xr:uid="{00000000-0005-0000-0000-0000FF0B0000}"/>
    <cellStyle name="Normal 10 3 4 3 2" xfId="3153" xr:uid="{00000000-0005-0000-0000-0000000C0000}"/>
    <cellStyle name="Normal 10 3 4 4" xfId="3154" xr:uid="{00000000-0005-0000-0000-0000010C0000}"/>
    <cellStyle name="Normal 10 3 5" xfId="3155" xr:uid="{00000000-0005-0000-0000-0000020C0000}"/>
    <cellStyle name="Normal 10 3 5 2" xfId="3156" xr:uid="{00000000-0005-0000-0000-0000030C0000}"/>
    <cellStyle name="Normal 10 3 6" xfId="3157" xr:uid="{00000000-0005-0000-0000-0000040C0000}"/>
    <cellStyle name="Normal 10 3 6 2" xfId="3158" xr:uid="{00000000-0005-0000-0000-0000050C0000}"/>
    <cellStyle name="Normal 10 3 7" xfId="3159" xr:uid="{00000000-0005-0000-0000-0000060C0000}"/>
    <cellStyle name="Normal 10 3 8" xfId="3160" xr:uid="{00000000-0005-0000-0000-0000070C0000}"/>
    <cellStyle name="Normal 10 4" xfId="3161" xr:uid="{00000000-0005-0000-0000-0000080C0000}"/>
    <cellStyle name="Normal 10 4 2" xfId="3162" xr:uid="{00000000-0005-0000-0000-0000090C0000}"/>
    <cellStyle name="Normal 10 4 2 2" xfId="3163" xr:uid="{00000000-0005-0000-0000-00000A0C0000}"/>
    <cellStyle name="Normal 10 4 2 2 2" xfId="3164" xr:uid="{00000000-0005-0000-0000-00000B0C0000}"/>
    <cellStyle name="Normal 10 4 2 2 2 2" xfId="3165" xr:uid="{00000000-0005-0000-0000-00000C0C0000}"/>
    <cellStyle name="Normal 10 4 2 2 2 2 2" xfId="3166" xr:uid="{00000000-0005-0000-0000-00000D0C0000}"/>
    <cellStyle name="Normal 10 4 2 2 2 3" xfId="3167" xr:uid="{00000000-0005-0000-0000-00000E0C0000}"/>
    <cellStyle name="Normal 10 4 2 2 2 3 2" xfId="3168" xr:uid="{00000000-0005-0000-0000-00000F0C0000}"/>
    <cellStyle name="Normal 10 4 2 2 2 4" xfId="3169" xr:uid="{00000000-0005-0000-0000-0000100C0000}"/>
    <cellStyle name="Normal 10 4 2 2 3" xfId="3170" xr:uid="{00000000-0005-0000-0000-0000110C0000}"/>
    <cellStyle name="Normal 10 4 2 2 3 2" xfId="3171" xr:uid="{00000000-0005-0000-0000-0000120C0000}"/>
    <cellStyle name="Normal 10 4 2 2 4" xfId="3172" xr:uid="{00000000-0005-0000-0000-0000130C0000}"/>
    <cellStyle name="Normal 10 4 2 2 4 2" xfId="3173" xr:uid="{00000000-0005-0000-0000-0000140C0000}"/>
    <cellStyle name="Normal 10 4 2 2 5" xfId="3174" xr:uid="{00000000-0005-0000-0000-0000150C0000}"/>
    <cellStyle name="Normal 10 4 2 3" xfId="3175" xr:uid="{00000000-0005-0000-0000-0000160C0000}"/>
    <cellStyle name="Normal 10 4 2 3 2" xfId="3176" xr:uid="{00000000-0005-0000-0000-0000170C0000}"/>
    <cellStyle name="Normal 10 4 2 3 2 2" xfId="3177" xr:uid="{00000000-0005-0000-0000-0000180C0000}"/>
    <cellStyle name="Normal 10 4 2 3 3" xfId="3178" xr:uid="{00000000-0005-0000-0000-0000190C0000}"/>
    <cellStyle name="Normal 10 4 2 3 3 2" xfId="3179" xr:uid="{00000000-0005-0000-0000-00001A0C0000}"/>
    <cellStyle name="Normal 10 4 2 3 4" xfId="3180" xr:uid="{00000000-0005-0000-0000-00001B0C0000}"/>
    <cellStyle name="Normal 10 4 2 4" xfId="3181" xr:uid="{00000000-0005-0000-0000-00001C0C0000}"/>
    <cellStyle name="Normal 10 4 2 4 2" xfId="3182" xr:uid="{00000000-0005-0000-0000-00001D0C0000}"/>
    <cellStyle name="Normal 10 4 2 5" xfId="3183" xr:uid="{00000000-0005-0000-0000-00001E0C0000}"/>
    <cellStyle name="Normal 10 4 2 5 2" xfId="3184" xr:uid="{00000000-0005-0000-0000-00001F0C0000}"/>
    <cellStyle name="Normal 10 4 2 6" xfId="3185" xr:uid="{00000000-0005-0000-0000-0000200C0000}"/>
    <cellStyle name="Normal 10 4 3" xfId="3186" xr:uid="{00000000-0005-0000-0000-0000210C0000}"/>
    <cellStyle name="Normal 10 4 3 2" xfId="3187" xr:uid="{00000000-0005-0000-0000-0000220C0000}"/>
    <cellStyle name="Normal 10 4 3 2 2" xfId="3188" xr:uid="{00000000-0005-0000-0000-0000230C0000}"/>
    <cellStyle name="Normal 10 4 3 2 2 2" xfId="3189" xr:uid="{00000000-0005-0000-0000-0000240C0000}"/>
    <cellStyle name="Normal 10 4 3 2 3" xfId="3190" xr:uid="{00000000-0005-0000-0000-0000250C0000}"/>
    <cellStyle name="Normal 10 4 3 2 3 2" xfId="3191" xr:uid="{00000000-0005-0000-0000-0000260C0000}"/>
    <cellStyle name="Normal 10 4 3 2 4" xfId="3192" xr:uid="{00000000-0005-0000-0000-0000270C0000}"/>
    <cellStyle name="Normal 10 4 3 3" xfId="3193" xr:uid="{00000000-0005-0000-0000-0000280C0000}"/>
    <cellStyle name="Normal 10 4 3 3 2" xfId="3194" xr:uid="{00000000-0005-0000-0000-0000290C0000}"/>
    <cellStyle name="Normal 10 4 3 4" xfId="3195" xr:uid="{00000000-0005-0000-0000-00002A0C0000}"/>
    <cellStyle name="Normal 10 4 3 4 2" xfId="3196" xr:uid="{00000000-0005-0000-0000-00002B0C0000}"/>
    <cellStyle name="Normal 10 4 3 5" xfId="3197" xr:uid="{00000000-0005-0000-0000-00002C0C0000}"/>
    <cellStyle name="Normal 10 4 4" xfId="3198" xr:uid="{00000000-0005-0000-0000-00002D0C0000}"/>
    <cellStyle name="Normal 10 4 4 2" xfId="3199" xr:uid="{00000000-0005-0000-0000-00002E0C0000}"/>
    <cellStyle name="Normal 10 4 4 2 2" xfId="3200" xr:uid="{00000000-0005-0000-0000-00002F0C0000}"/>
    <cellStyle name="Normal 10 4 4 3" xfId="3201" xr:uid="{00000000-0005-0000-0000-0000300C0000}"/>
    <cellStyle name="Normal 10 4 4 3 2" xfId="3202" xr:uid="{00000000-0005-0000-0000-0000310C0000}"/>
    <cellStyle name="Normal 10 4 4 4" xfId="3203" xr:uid="{00000000-0005-0000-0000-0000320C0000}"/>
    <cellStyle name="Normal 10 4 5" xfId="3204" xr:uid="{00000000-0005-0000-0000-0000330C0000}"/>
    <cellStyle name="Normal 10 4 5 2" xfId="3205" xr:uid="{00000000-0005-0000-0000-0000340C0000}"/>
    <cellStyle name="Normal 10 4 6" xfId="3206" xr:uid="{00000000-0005-0000-0000-0000350C0000}"/>
    <cellStyle name="Normal 10 4 6 2" xfId="3207" xr:uid="{00000000-0005-0000-0000-0000360C0000}"/>
    <cellStyle name="Normal 10 4 7" xfId="3208" xr:uid="{00000000-0005-0000-0000-0000370C0000}"/>
    <cellStyle name="Normal 10 5" xfId="3209" xr:uid="{00000000-0005-0000-0000-0000380C0000}"/>
    <cellStyle name="Normal 10 5 2" xfId="3210" xr:uid="{00000000-0005-0000-0000-0000390C0000}"/>
    <cellStyle name="Normal 10 5 2 2" xfId="3211" xr:uid="{00000000-0005-0000-0000-00003A0C0000}"/>
    <cellStyle name="Normal 10 5 2 2 2" xfId="3212" xr:uid="{00000000-0005-0000-0000-00003B0C0000}"/>
    <cellStyle name="Normal 10 5 2 2 2 2" xfId="3213" xr:uid="{00000000-0005-0000-0000-00003C0C0000}"/>
    <cellStyle name="Normal 10 5 2 2 3" xfId="3214" xr:uid="{00000000-0005-0000-0000-00003D0C0000}"/>
    <cellStyle name="Normal 10 5 2 2 3 2" xfId="3215" xr:uid="{00000000-0005-0000-0000-00003E0C0000}"/>
    <cellStyle name="Normal 10 5 2 2 4" xfId="3216" xr:uid="{00000000-0005-0000-0000-00003F0C0000}"/>
    <cellStyle name="Normal 10 5 2 3" xfId="3217" xr:uid="{00000000-0005-0000-0000-0000400C0000}"/>
    <cellStyle name="Normal 10 5 2 3 2" xfId="3218" xr:uid="{00000000-0005-0000-0000-0000410C0000}"/>
    <cellStyle name="Normal 10 5 2 4" xfId="3219" xr:uid="{00000000-0005-0000-0000-0000420C0000}"/>
    <cellStyle name="Normal 10 5 2 4 2" xfId="3220" xr:uid="{00000000-0005-0000-0000-0000430C0000}"/>
    <cellStyle name="Normal 10 5 2 5" xfId="3221" xr:uid="{00000000-0005-0000-0000-0000440C0000}"/>
    <cellStyle name="Normal 10 5 3" xfId="3222" xr:uid="{00000000-0005-0000-0000-0000450C0000}"/>
    <cellStyle name="Normal 10 5 3 2" xfId="3223" xr:uid="{00000000-0005-0000-0000-0000460C0000}"/>
    <cellStyle name="Normal 10 5 3 2 2" xfId="3224" xr:uid="{00000000-0005-0000-0000-0000470C0000}"/>
    <cellStyle name="Normal 10 5 3 3" xfId="3225" xr:uid="{00000000-0005-0000-0000-0000480C0000}"/>
    <cellStyle name="Normal 10 5 3 3 2" xfId="3226" xr:uid="{00000000-0005-0000-0000-0000490C0000}"/>
    <cellStyle name="Normal 10 5 3 4" xfId="3227" xr:uid="{00000000-0005-0000-0000-00004A0C0000}"/>
    <cellStyle name="Normal 10 5 4" xfId="3228" xr:uid="{00000000-0005-0000-0000-00004B0C0000}"/>
    <cellStyle name="Normal 10 5 4 2" xfId="3229" xr:uid="{00000000-0005-0000-0000-00004C0C0000}"/>
    <cellStyle name="Normal 10 5 5" xfId="3230" xr:uid="{00000000-0005-0000-0000-00004D0C0000}"/>
    <cellStyle name="Normal 10 5 5 2" xfId="3231" xr:uid="{00000000-0005-0000-0000-00004E0C0000}"/>
    <cellStyle name="Normal 10 5 6" xfId="3232" xr:uid="{00000000-0005-0000-0000-00004F0C0000}"/>
    <cellStyle name="Normal 10 6" xfId="3233" xr:uid="{00000000-0005-0000-0000-0000500C0000}"/>
    <cellStyle name="Normal 10 6 2" xfId="3234" xr:uid="{00000000-0005-0000-0000-0000510C0000}"/>
    <cellStyle name="Normal 10 6 2 2" xfId="3235" xr:uid="{00000000-0005-0000-0000-0000520C0000}"/>
    <cellStyle name="Normal 10 6 2 2 2" xfId="3236" xr:uid="{00000000-0005-0000-0000-0000530C0000}"/>
    <cellStyle name="Normal 10 6 2 3" xfId="3237" xr:uid="{00000000-0005-0000-0000-0000540C0000}"/>
    <cellStyle name="Normal 10 6 2 3 2" xfId="3238" xr:uid="{00000000-0005-0000-0000-0000550C0000}"/>
    <cellStyle name="Normal 10 6 2 4" xfId="3239" xr:uid="{00000000-0005-0000-0000-0000560C0000}"/>
    <cellStyle name="Normal 10 6 3" xfId="3240" xr:uid="{00000000-0005-0000-0000-0000570C0000}"/>
    <cellStyle name="Normal 10 6 3 2" xfId="3241" xr:uid="{00000000-0005-0000-0000-0000580C0000}"/>
    <cellStyle name="Normal 10 6 4" xfId="3242" xr:uid="{00000000-0005-0000-0000-0000590C0000}"/>
    <cellStyle name="Normal 10 6 4 2" xfId="3243" xr:uid="{00000000-0005-0000-0000-00005A0C0000}"/>
    <cellStyle name="Normal 10 6 5" xfId="3244" xr:uid="{00000000-0005-0000-0000-00005B0C0000}"/>
    <cellStyle name="Normal 10 7" xfId="3245" xr:uid="{00000000-0005-0000-0000-00005C0C0000}"/>
    <cellStyle name="Normal 10 7 2" xfId="3246" xr:uid="{00000000-0005-0000-0000-00005D0C0000}"/>
    <cellStyle name="Normal 10 7 2 2" xfId="3247" xr:uid="{00000000-0005-0000-0000-00005E0C0000}"/>
    <cellStyle name="Normal 10 7 3" xfId="3248" xr:uid="{00000000-0005-0000-0000-00005F0C0000}"/>
    <cellStyle name="Normal 10 7 3 2" xfId="3249" xr:uid="{00000000-0005-0000-0000-0000600C0000}"/>
    <cellStyle name="Normal 10 7 4" xfId="3250" xr:uid="{00000000-0005-0000-0000-0000610C0000}"/>
    <cellStyle name="Normal 10 8" xfId="3251" xr:uid="{00000000-0005-0000-0000-0000620C0000}"/>
    <cellStyle name="Normal 10 8 2" xfId="3252" xr:uid="{00000000-0005-0000-0000-0000630C0000}"/>
    <cellStyle name="Normal 10 9" xfId="3253" xr:uid="{00000000-0005-0000-0000-0000640C0000}"/>
    <cellStyle name="Normal 10 9 2" xfId="3254" xr:uid="{00000000-0005-0000-0000-0000650C0000}"/>
    <cellStyle name="Normal 10_2112 DF Schedule" xfId="3255" xr:uid="{00000000-0005-0000-0000-0000660C0000}"/>
    <cellStyle name="Normal 100" xfId="3256" xr:uid="{00000000-0005-0000-0000-0000670C0000}"/>
    <cellStyle name="Normal 100 2" xfId="3257" xr:uid="{00000000-0005-0000-0000-0000680C0000}"/>
    <cellStyle name="Normal 100 3" xfId="3258" xr:uid="{00000000-0005-0000-0000-0000690C0000}"/>
    <cellStyle name="Normal 101" xfId="3259" xr:uid="{00000000-0005-0000-0000-00006A0C0000}"/>
    <cellStyle name="Normal 101 2" xfId="3260" xr:uid="{00000000-0005-0000-0000-00006B0C0000}"/>
    <cellStyle name="Normal 102" xfId="3261" xr:uid="{00000000-0005-0000-0000-00006C0C0000}"/>
    <cellStyle name="Normal 102 2" xfId="3262" xr:uid="{00000000-0005-0000-0000-00006D0C0000}"/>
    <cellStyle name="Normal 103" xfId="3263" xr:uid="{00000000-0005-0000-0000-00006E0C0000}"/>
    <cellStyle name="Normal 103 2" xfId="3264" xr:uid="{00000000-0005-0000-0000-00006F0C0000}"/>
    <cellStyle name="Normal 104" xfId="3265" xr:uid="{00000000-0005-0000-0000-0000700C0000}"/>
    <cellStyle name="Normal 104 2" xfId="3266" xr:uid="{00000000-0005-0000-0000-0000710C0000}"/>
    <cellStyle name="Normal 105" xfId="3267" xr:uid="{00000000-0005-0000-0000-0000720C0000}"/>
    <cellStyle name="Normal 105 2" xfId="3268" xr:uid="{00000000-0005-0000-0000-0000730C0000}"/>
    <cellStyle name="Normal 106" xfId="3269" xr:uid="{00000000-0005-0000-0000-0000740C0000}"/>
    <cellStyle name="Normal 107" xfId="3270" xr:uid="{00000000-0005-0000-0000-0000750C0000}"/>
    <cellStyle name="Normal 107 2" xfId="3271" xr:uid="{00000000-0005-0000-0000-0000760C0000}"/>
    <cellStyle name="Normal 108" xfId="3272" xr:uid="{00000000-0005-0000-0000-0000770C0000}"/>
    <cellStyle name="Normal 108 2" xfId="3273" xr:uid="{00000000-0005-0000-0000-0000780C0000}"/>
    <cellStyle name="Normal 109" xfId="3274" xr:uid="{00000000-0005-0000-0000-0000790C0000}"/>
    <cellStyle name="Normal 109 2" xfId="3275" xr:uid="{00000000-0005-0000-0000-00007A0C0000}"/>
    <cellStyle name="Normal 109 2 2" xfId="3276" xr:uid="{00000000-0005-0000-0000-00007B0C0000}"/>
    <cellStyle name="Normal 109 3" xfId="3277" xr:uid="{00000000-0005-0000-0000-00007C0C0000}"/>
    <cellStyle name="Normal 109 4" xfId="3278" xr:uid="{00000000-0005-0000-0000-00007D0C0000}"/>
    <cellStyle name="Normal 11" xfId="79" xr:uid="{00000000-0005-0000-0000-00007E0C0000}"/>
    <cellStyle name="Normal 11 10" xfId="3279" xr:uid="{00000000-0005-0000-0000-00007F0C0000}"/>
    <cellStyle name="Normal 11 11" xfId="3280" xr:uid="{00000000-0005-0000-0000-0000800C0000}"/>
    <cellStyle name="Normal 11 12" xfId="3281" xr:uid="{00000000-0005-0000-0000-0000810C0000}"/>
    <cellStyle name="Normal 11 2" xfId="216" xr:uid="{00000000-0005-0000-0000-0000820C0000}"/>
    <cellStyle name="Normal 11 2 2" xfId="3282" xr:uid="{00000000-0005-0000-0000-0000830C0000}"/>
    <cellStyle name="Normal 11 2 2 2" xfId="3283" xr:uid="{00000000-0005-0000-0000-0000840C0000}"/>
    <cellStyle name="Normal 11 2 2 2 2" xfId="3284" xr:uid="{00000000-0005-0000-0000-0000850C0000}"/>
    <cellStyle name="Normal 11 2 2 2 2 2" xfId="3285" xr:uid="{00000000-0005-0000-0000-0000860C0000}"/>
    <cellStyle name="Normal 11 2 2 2 2 2 2" xfId="3286" xr:uid="{00000000-0005-0000-0000-0000870C0000}"/>
    <cellStyle name="Normal 11 2 2 2 2 2 2 2" xfId="3287" xr:uid="{00000000-0005-0000-0000-0000880C0000}"/>
    <cellStyle name="Normal 11 2 2 2 2 2 3" xfId="3288" xr:uid="{00000000-0005-0000-0000-0000890C0000}"/>
    <cellStyle name="Normal 11 2 2 2 2 2 3 2" xfId="3289" xr:uid="{00000000-0005-0000-0000-00008A0C0000}"/>
    <cellStyle name="Normal 11 2 2 2 2 2 4" xfId="3290" xr:uid="{00000000-0005-0000-0000-00008B0C0000}"/>
    <cellStyle name="Normal 11 2 2 2 2 3" xfId="3291" xr:uid="{00000000-0005-0000-0000-00008C0C0000}"/>
    <cellStyle name="Normal 11 2 2 2 2 3 2" xfId="3292" xr:uid="{00000000-0005-0000-0000-00008D0C0000}"/>
    <cellStyle name="Normal 11 2 2 2 2 4" xfId="3293" xr:uid="{00000000-0005-0000-0000-00008E0C0000}"/>
    <cellStyle name="Normal 11 2 2 2 2 4 2" xfId="3294" xr:uid="{00000000-0005-0000-0000-00008F0C0000}"/>
    <cellStyle name="Normal 11 2 2 2 2 5" xfId="3295" xr:uid="{00000000-0005-0000-0000-0000900C0000}"/>
    <cellStyle name="Normal 11 2 2 2 3" xfId="3296" xr:uid="{00000000-0005-0000-0000-0000910C0000}"/>
    <cellStyle name="Normal 11 2 2 2 3 2" xfId="3297" xr:uid="{00000000-0005-0000-0000-0000920C0000}"/>
    <cellStyle name="Normal 11 2 2 2 3 2 2" xfId="3298" xr:uid="{00000000-0005-0000-0000-0000930C0000}"/>
    <cellStyle name="Normal 11 2 2 2 3 3" xfId="3299" xr:uid="{00000000-0005-0000-0000-0000940C0000}"/>
    <cellStyle name="Normal 11 2 2 2 3 3 2" xfId="3300" xr:uid="{00000000-0005-0000-0000-0000950C0000}"/>
    <cellStyle name="Normal 11 2 2 2 3 4" xfId="3301" xr:uid="{00000000-0005-0000-0000-0000960C0000}"/>
    <cellStyle name="Normal 11 2 2 2 4" xfId="3302" xr:uid="{00000000-0005-0000-0000-0000970C0000}"/>
    <cellStyle name="Normal 11 2 2 2 4 2" xfId="3303" xr:uid="{00000000-0005-0000-0000-0000980C0000}"/>
    <cellStyle name="Normal 11 2 2 2 5" xfId="3304" xr:uid="{00000000-0005-0000-0000-0000990C0000}"/>
    <cellStyle name="Normal 11 2 2 2 5 2" xfId="3305" xr:uid="{00000000-0005-0000-0000-00009A0C0000}"/>
    <cellStyle name="Normal 11 2 2 2 6" xfId="3306" xr:uid="{00000000-0005-0000-0000-00009B0C0000}"/>
    <cellStyle name="Normal 11 2 2 3" xfId="3307" xr:uid="{00000000-0005-0000-0000-00009C0C0000}"/>
    <cellStyle name="Normal 11 2 2 3 2" xfId="3308" xr:uid="{00000000-0005-0000-0000-00009D0C0000}"/>
    <cellStyle name="Normal 11 2 2 3 2 2" xfId="3309" xr:uid="{00000000-0005-0000-0000-00009E0C0000}"/>
    <cellStyle name="Normal 11 2 2 3 2 2 2" xfId="3310" xr:uid="{00000000-0005-0000-0000-00009F0C0000}"/>
    <cellStyle name="Normal 11 2 2 3 2 3" xfId="3311" xr:uid="{00000000-0005-0000-0000-0000A00C0000}"/>
    <cellStyle name="Normal 11 2 2 3 2 3 2" xfId="3312" xr:uid="{00000000-0005-0000-0000-0000A10C0000}"/>
    <cellStyle name="Normal 11 2 2 3 2 4" xfId="3313" xr:uid="{00000000-0005-0000-0000-0000A20C0000}"/>
    <cellStyle name="Normal 11 2 2 3 3" xfId="3314" xr:uid="{00000000-0005-0000-0000-0000A30C0000}"/>
    <cellStyle name="Normal 11 2 2 3 3 2" xfId="3315" xr:uid="{00000000-0005-0000-0000-0000A40C0000}"/>
    <cellStyle name="Normal 11 2 2 3 4" xfId="3316" xr:uid="{00000000-0005-0000-0000-0000A50C0000}"/>
    <cellStyle name="Normal 11 2 2 3 4 2" xfId="3317" xr:uid="{00000000-0005-0000-0000-0000A60C0000}"/>
    <cellStyle name="Normal 11 2 2 3 5" xfId="3318" xr:uid="{00000000-0005-0000-0000-0000A70C0000}"/>
    <cellStyle name="Normal 11 2 2 4" xfId="3319" xr:uid="{00000000-0005-0000-0000-0000A80C0000}"/>
    <cellStyle name="Normal 11 2 2 4 2" xfId="3320" xr:uid="{00000000-0005-0000-0000-0000A90C0000}"/>
    <cellStyle name="Normal 11 2 2 4 2 2" xfId="3321" xr:uid="{00000000-0005-0000-0000-0000AA0C0000}"/>
    <cellStyle name="Normal 11 2 2 4 3" xfId="3322" xr:uid="{00000000-0005-0000-0000-0000AB0C0000}"/>
    <cellStyle name="Normal 11 2 2 4 3 2" xfId="3323" xr:uid="{00000000-0005-0000-0000-0000AC0C0000}"/>
    <cellStyle name="Normal 11 2 2 4 4" xfId="3324" xr:uid="{00000000-0005-0000-0000-0000AD0C0000}"/>
    <cellStyle name="Normal 11 2 2 5" xfId="3325" xr:uid="{00000000-0005-0000-0000-0000AE0C0000}"/>
    <cellStyle name="Normal 11 2 2 5 2" xfId="3326" xr:uid="{00000000-0005-0000-0000-0000AF0C0000}"/>
    <cellStyle name="Normal 11 2 2 6" xfId="3327" xr:uid="{00000000-0005-0000-0000-0000B00C0000}"/>
    <cellStyle name="Normal 11 2 2 6 2" xfId="3328" xr:uid="{00000000-0005-0000-0000-0000B10C0000}"/>
    <cellStyle name="Normal 11 2 2 7" xfId="3329" xr:uid="{00000000-0005-0000-0000-0000B20C0000}"/>
    <cellStyle name="Normal 11 2 3" xfId="3330" xr:uid="{00000000-0005-0000-0000-0000B30C0000}"/>
    <cellStyle name="Normal 11 2 3 2" xfId="3331" xr:uid="{00000000-0005-0000-0000-0000B40C0000}"/>
    <cellStyle name="Normal 11 2 3 2 2" xfId="3332" xr:uid="{00000000-0005-0000-0000-0000B50C0000}"/>
    <cellStyle name="Normal 11 2 3 2 2 2" xfId="3333" xr:uid="{00000000-0005-0000-0000-0000B60C0000}"/>
    <cellStyle name="Normal 11 2 3 2 2 2 2" xfId="3334" xr:uid="{00000000-0005-0000-0000-0000B70C0000}"/>
    <cellStyle name="Normal 11 2 3 2 2 3" xfId="3335" xr:uid="{00000000-0005-0000-0000-0000B80C0000}"/>
    <cellStyle name="Normal 11 2 3 2 2 3 2" xfId="3336" xr:uid="{00000000-0005-0000-0000-0000B90C0000}"/>
    <cellStyle name="Normal 11 2 3 2 2 4" xfId="3337" xr:uid="{00000000-0005-0000-0000-0000BA0C0000}"/>
    <cellStyle name="Normal 11 2 3 2 3" xfId="3338" xr:uid="{00000000-0005-0000-0000-0000BB0C0000}"/>
    <cellStyle name="Normal 11 2 3 2 3 2" xfId="3339" xr:uid="{00000000-0005-0000-0000-0000BC0C0000}"/>
    <cellStyle name="Normal 11 2 3 2 4" xfId="3340" xr:uid="{00000000-0005-0000-0000-0000BD0C0000}"/>
    <cellStyle name="Normal 11 2 3 2 4 2" xfId="3341" xr:uid="{00000000-0005-0000-0000-0000BE0C0000}"/>
    <cellStyle name="Normal 11 2 3 2 5" xfId="3342" xr:uid="{00000000-0005-0000-0000-0000BF0C0000}"/>
    <cellStyle name="Normal 11 2 3 3" xfId="3343" xr:uid="{00000000-0005-0000-0000-0000C00C0000}"/>
    <cellStyle name="Normal 11 2 3 3 2" xfId="3344" xr:uid="{00000000-0005-0000-0000-0000C10C0000}"/>
    <cellStyle name="Normal 11 2 3 3 2 2" xfId="3345" xr:uid="{00000000-0005-0000-0000-0000C20C0000}"/>
    <cellStyle name="Normal 11 2 3 3 3" xfId="3346" xr:uid="{00000000-0005-0000-0000-0000C30C0000}"/>
    <cellStyle name="Normal 11 2 3 3 3 2" xfId="3347" xr:uid="{00000000-0005-0000-0000-0000C40C0000}"/>
    <cellStyle name="Normal 11 2 3 3 4" xfId="3348" xr:uid="{00000000-0005-0000-0000-0000C50C0000}"/>
    <cellStyle name="Normal 11 2 3 4" xfId="3349" xr:uid="{00000000-0005-0000-0000-0000C60C0000}"/>
    <cellStyle name="Normal 11 2 3 4 2" xfId="3350" xr:uid="{00000000-0005-0000-0000-0000C70C0000}"/>
    <cellStyle name="Normal 11 2 3 5" xfId="3351" xr:uid="{00000000-0005-0000-0000-0000C80C0000}"/>
    <cellStyle name="Normal 11 2 3 5 2" xfId="3352" xr:uid="{00000000-0005-0000-0000-0000C90C0000}"/>
    <cellStyle name="Normal 11 2 3 6" xfId="3353" xr:uid="{00000000-0005-0000-0000-0000CA0C0000}"/>
    <cellStyle name="Normal 11 2 4" xfId="3354" xr:uid="{00000000-0005-0000-0000-0000CB0C0000}"/>
    <cellStyle name="Normal 11 2 4 2" xfId="3355" xr:uid="{00000000-0005-0000-0000-0000CC0C0000}"/>
    <cellStyle name="Normal 11 2 4 2 2" xfId="3356" xr:uid="{00000000-0005-0000-0000-0000CD0C0000}"/>
    <cellStyle name="Normal 11 2 4 2 2 2" xfId="3357" xr:uid="{00000000-0005-0000-0000-0000CE0C0000}"/>
    <cellStyle name="Normal 11 2 4 2 3" xfId="3358" xr:uid="{00000000-0005-0000-0000-0000CF0C0000}"/>
    <cellStyle name="Normal 11 2 4 2 3 2" xfId="3359" xr:uid="{00000000-0005-0000-0000-0000D00C0000}"/>
    <cellStyle name="Normal 11 2 4 2 4" xfId="3360" xr:uid="{00000000-0005-0000-0000-0000D10C0000}"/>
    <cellStyle name="Normal 11 2 4 3" xfId="3361" xr:uid="{00000000-0005-0000-0000-0000D20C0000}"/>
    <cellStyle name="Normal 11 2 4 3 2" xfId="3362" xr:uid="{00000000-0005-0000-0000-0000D30C0000}"/>
    <cellStyle name="Normal 11 2 4 4" xfId="3363" xr:uid="{00000000-0005-0000-0000-0000D40C0000}"/>
    <cellStyle name="Normal 11 2 4 4 2" xfId="3364" xr:uid="{00000000-0005-0000-0000-0000D50C0000}"/>
    <cellStyle name="Normal 11 2 4 5" xfId="3365" xr:uid="{00000000-0005-0000-0000-0000D60C0000}"/>
    <cellStyle name="Normal 11 2 5" xfId="3366" xr:uid="{00000000-0005-0000-0000-0000D70C0000}"/>
    <cellStyle name="Normal 11 2 5 2" xfId="3367" xr:uid="{00000000-0005-0000-0000-0000D80C0000}"/>
    <cellStyle name="Normal 11 2 5 2 2" xfId="3368" xr:uid="{00000000-0005-0000-0000-0000D90C0000}"/>
    <cellStyle name="Normal 11 2 5 3" xfId="3369" xr:uid="{00000000-0005-0000-0000-0000DA0C0000}"/>
    <cellStyle name="Normal 11 2 5 3 2" xfId="3370" xr:uid="{00000000-0005-0000-0000-0000DB0C0000}"/>
    <cellStyle name="Normal 11 2 5 4" xfId="3371" xr:uid="{00000000-0005-0000-0000-0000DC0C0000}"/>
    <cellStyle name="Normal 11 2 6" xfId="3372" xr:uid="{00000000-0005-0000-0000-0000DD0C0000}"/>
    <cellStyle name="Normal 11 2 6 2" xfId="3373" xr:uid="{00000000-0005-0000-0000-0000DE0C0000}"/>
    <cellStyle name="Normal 11 2 7" xfId="3374" xr:uid="{00000000-0005-0000-0000-0000DF0C0000}"/>
    <cellStyle name="Normal 11 2 7 2" xfId="3375" xr:uid="{00000000-0005-0000-0000-0000E00C0000}"/>
    <cellStyle name="Normal 11 2 8" xfId="3376" xr:uid="{00000000-0005-0000-0000-0000E10C0000}"/>
    <cellStyle name="Normal 11 2 9" xfId="3377" xr:uid="{00000000-0005-0000-0000-0000E20C0000}"/>
    <cellStyle name="Normal 11 3" xfId="3378" xr:uid="{00000000-0005-0000-0000-0000E30C0000}"/>
    <cellStyle name="Normal 11 3 2" xfId="3379" xr:uid="{00000000-0005-0000-0000-0000E40C0000}"/>
    <cellStyle name="Normal 11 3 2 2" xfId="3380" xr:uid="{00000000-0005-0000-0000-0000E50C0000}"/>
    <cellStyle name="Normal 11 3 2 2 2" xfId="3381" xr:uid="{00000000-0005-0000-0000-0000E60C0000}"/>
    <cellStyle name="Normal 11 3 2 2 2 2" xfId="3382" xr:uid="{00000000-0005-0000-0000-0000E70C0000}"/>
    <cellStyle name="Normal 11 3 2 2 2 2 2" xfId="3383" xr:uid="{00000000-0005-0000-0000-0000E80C0000}"/>
    <cellStyle name="Normal 11 3 2 2 2 3" xfId="3384" xr:uid="{00000000-0005-0000-0000-0000E90C0000}"/>
    <cellStyle name="Normal 11 3 2 2 2 3 2" xfId="3385" xr:uid="{00000000-0005-0000-0000-0000EA0C0000}"/>
    <cellStyle name="Normal 11 3 2 2 2 4" xfId="3386" xr:uid="{00000000-0005-0000-0000-0000EB0C0000}"/>
    <cellStyle name="Normal 11 3 2 2 3" xfId="3387" xr:uid="{00000000-0005-0000-0000-0000EC0C0000}"/>
    <cellStyle name="Normal 11 3 2 2 3 2" xfId="3388" xr:uid="{00000000-0005-0000-0000-0000ED0C0000}"/>
    <cellStyle name="Normal 11 3 2 2 4" xfId="3389" xr:uid="{00000000-0005-0000-0000-0000EE0C0000}"/>
    <cellStyle name="Normal 11 3 2 2 4 2" xfId="3390" xr:uid="{00000000-0005-0000-0000-0000EF0C0000}"/>
    <cellStyle name="Normal 11 3 2 2 5" xfId="3391" xr:uid="{00000000-0005-0000-0000-0000F00C0000}"/>
    <cellStyle name="Normal 11 3 2 3" xfId="3392" xr:uid="{00000000-0005-0000-0000-0000F10C0000}"/>
    <cellStyle name="Normal 11 3 2 3 2" xfId="3393" xr:uid="{00000000-0005-0000-0000-0000F20C0000}"/>
    <cellStyle name="Normal 11 3 2 3 2 2" xfId="3394" xr:uid="{00000000-0005-0000-0000-0000F30C0000}"/>
    <cellStyle name="Normal 11 3 2 3 3" xfId="3395" xr:uid="{00000000-0005-0000-0000-0000F40C0000}"/>
    <cellStyle name="Normal 11 3 2 3 3 2" xfId="3396" xr:uid="{00000000-0005-0000-0000-0000F50C0000}"/>
    <cellStyle name="Normal 11 3 2 3 4" xfId="3397" xr:uid="{00000000-0005-0000-0000-0000F60C0000}"/>
    <cellStyle name="Normal 11 3 2 4" xfId="3398" xr:uid="{00000000-0005-0000-0000-0000F70C0000}"/>
    <cellStyle name="Normal 11 3 2 4 2" xfId="3399" xr:uid="{00000000-0005-0000-0000-0000F80C0000}"/>
    <cellStyle name="Normal 11 3 2 5" xfId="3400" xr:uid="{00000000-0005-0000-0000-0000F90C0000}"/>
    <cellStyle name="Normal 11 3 2 5 2" xfId="3401" xr:uid="{00000000-0005-0000-0000-0000FA0C0000}"/>
    <cellStyle name="Normal 11 3 2 6" xfId="3402" xr:uid="{00000000-0005-0000-0000-0000FB0C0000}"/>
    <cellStyle name="Normal 11 3 3" xfId="3403" xr:uid="{00000000-0005-0000-0000-0000FC0C0000}"/>
    <cellStyle name="Normal 11 3 3 2" xfId="3404" xr:uid="{00000000-0005-0000-0000-0000FD0C0000}"/>
    <cellStyle name="Normal 11 3 3 2 2" xfId="3405" xr:uid="{00000000-0005-0000-0000-0000FE0C0000}"/>
    <cellStyle name="Normal 11 3 3 2 2 2" xfId="3406" xr:uid="{00000000-0005-0000-0000-0000FF0C0000}"/>
    <cellStyle name="Normal 11 3 3 2 3" xfId="3407" xr:uid="{00000000-0005-0000-0000-0000000D0000}"/>
    <cellStyle name="Normal 11 3 3 2 3 2" xfId="3408" xr:uid="{00000000-0005-0000-0000-0000010D0000}"/>
    <cellStyle name="Normal 11 3 3 2 4" xfId="3409" xr:uid="{00000000-0005-0000-0000-0000020D0000}"/>
    <cellStyle name="Normal 11 3 3 3" xfId="3410" xr:uid="{00000000-0005-0000-0000-0000030D0000}"/>
    <cellStyle name="Normal 11 3 3 3 2" xfId="3411" xr:uid="{00000000-0005-0000-0000-0000040D0000}"/>
    <cellStyle name="Normal 11 3 3 4" xfId="3412" xr:uid="{00000000-0005-0000-0000-0000050D0000}"/>
    <cellStyle name="Normal 11 3 3 4 2" xfId="3413" xr:uid="{00000000-0005-0000-0000-0000060D0000}"/>
    <cellStyle name="Normal 11 3 3 5" xfId="3414" xr:uid="{00000000-0005-0000-0000-0000070D0000}"/>
    <cellStyle name="Normal 11 3 4" xfId="3415" xr:uid="{00000000-0005-0000-0000-0000080D0000}"/>
    <cellStyle name="Normal 11 3 4 2" xfId="3416" xr:uid="{00000000-0005-0000-0000-0000090D0000}"/>
    <cellStyle name="Normal 11 3 4 2 2" xfId="3417" xr:uid="{00000000-0005-0000-0000-00000A0D0000}"/>
    <cellStyle name="Normal 11 3 4 3" xfId="3418" xr:uid="{00000000-0005-0000-0000-00000B0D0000}"/>
    <cellStyle name="Normal 11 3 4 3 2" xfId="3419" xr:uid="{00000000-0005-0000-0000-00000C0D0000}"/>
    <cellStyle name="Normal 11 3 4 4" xfId="3420" xr:uid="{00000000-0005-0000-0000-00000D0D0000}"/>
    <cellStyle name="Normal 11 3 5" xfId="3421" xr:uid="{00000000-0005-0000-0000-00000E0D0000}"/>
    <cellStyle name="Normal 11 3 5 2" xfId="3422" xr:uid="{00000000-0005-0000-0000-00000F0D0000}"/>
    <cellStyle name="Normal 11 3 6" xfId="3423" xr:uid="{00000000-0005-0000-0000-0000100D0000}"/>
    <cellStyle name="Normal 11 3 6 2" xfId="3424" xr:uid="{00000000-0005-0000-0000-0000110D0000}"/>
    <cellStyle name="Normal 11 3 7" xfId="3425" xr:uid="{00000000-0005-0000-0000-0000120D0000}"/>
    <cellStyle name="Normal 11 4" xfId="3426" xr:uid="{00000000-0005-0000-0000-0000130D0000}"/>
    <cellStyle name="Normal 11 4 2" xfId="3427" xr:uid="{00000000-0005-0000-0000-0000140D0000}"/>
    <cellStyle name="Normal 11 4 2 2" xfId="3428" xr:uid="{00000000-0005-0000-0000-0000150D0000}"/>
    <cellStyle name="Normal 11 4 2 2 2" xfId="3429" xr:uid="{00000000-0005-0000-0000-0000160D0000}"/>
    <cellStyle name="Normal 11 4 2 2 2 2" xfId="3430" xr:uid="{00000000-0005-0000-0000-0000170D0000}"/>
    <cellStyle name="Normal 11 4 2 2 2 2 2" xfId="3431" xr:uid="{00000000-0005-0000-0000-0000180D0000}"/>
    <cellStyle name="Normal 11 4 2 2 2 3" xfId="3432" xr:uid="{00000000-0005-0000-0000-0000190D0000}"/>
    <cellStyle name="Normal 11 4 2 2 2 3 2" xfId="3433" xr:uid="{00000000-0005-0000-0000-00001A0D0000}"/>
    <cellStyle name="Normal 11 4 2 2 2 4" xfId="3434" xr:uid="{00000000-0005-0000-0000-00001B0D0000}"/>
    <cellStyle name="Normal 11 4 2 2 3" xfId="3435" xr:uid="{00000000-0005-0000-0000-00001C0D0000}"/>
    <cellStyle name="Normal 11 4 2 2 3 2" xfId="3436" xr:uid="{00000000-0005-0000-0000-00001D0D0000}"/>
    <cellStyle name="Normal 11 4 2 2 4" xfId="3437" xr:uid="{00000000-0005-0000-0000-00001E0D0000}"/>
    <cellStyle name="Normal 11 4 2 2 4 2" xfId="3438" xr:uid="{00000000-0005-0000-0000-00001F0D0000}"/>
    <cellStyle name="Normal 11 4 2 2 5" xfId="3439" xr:uid="{00000000-0005-0000-0000-0000200D0000}"/>
    <cellStyle name="Normal 11 4 2 3" xfId="3440" xr:uid="{00000000-0005-0000-0000-0000210D0000}"/>
    <cellStyle name="Normal 11 4 2 3 2" xfId="3441" xr:uid="{00000000-0005-0000-0000-0000220D0000}"/>
    <cellStyle name="Normal 11 4 2 3 2 2" xfId="3442" xr:uid="{00000000-0005-0000-0000-0000230D0000}"/>
    <cellStyle name="Normal 11 4 2 3 3" xfId="3443" xr:uid="{00000000-0005-0000-0000-0000240D0000}"/>
    <cellStyle name="Normal 11 4 2 3 3 2" xfId="3444" xr:uid="{00000000-0005-0000-0000-0000250D0000}"/>
    <cellStyle name="Normal 11 4 2 3 4" xfId="3445" xr:uid="{00000000-0005-0000-0000-0000260D0000}"/>
    <cellStyle name="Normal 11 4 2 4" xfId="3446" xr:uid="{00000000-0005-0000-0000-0000270D0000}"/>
    <cellStyle name="Normal 11 4 2 4 2" xfId="3447" xr:uid="{00000000-0005-0000-0000-0000280D0000}"/>
    <cellStyle name="Normal 11 4 2 5" xfId="3448" xr:uid="{00000000-0005-0000-0000-0000290D0000}"/>
    <cellStyle name="Normal 11 4 2 5 2" xfId="3449" xr:uid="{00000000-0005-0000-0000-00002A0D0000}"/>
    <cellStyle name="Normal 11 4 2 6" xfId="3450" xr:uid="{00000000-0005-0000-0000-00002B0D0000}"/>
    <cellStyle name="Normal 11 4 3" xfId="3451" xr:uid="{00000000-0005-0000-0000-00002C0D0000}"/>
    <cellStyle name="Normal 11 4 3 2" xfId="3452" xr:uid="{00000000-0005-0000-0000-00002D0D0000}"/>
    <cellStyle name="Normal 11 4 3 2 2" xfId="3453" xr:uid="{00000000-0005-0000-0000-00002E0D0000}"/>
    <cellStyle name="Normal 11 4 3 2 2 2" xfId="3454" xr:uid="{00000000-0005-0000-0000-00002F0D0000}"/>
    <cellStyle name="Normal 11 4 3 2 3" xfId="3455" xr:uid="{00000000-0005-0000-0000-0000300D0000}"/>
    <cellStyle name="Normal 11 4 3 2 3 2" xfId="3456" xr:uid="{00000000-0005-0000-0000-0000310D0000}"/>
    <cellStyle name="Normal 11 4 3 2 4" xfId="3457" xr:uid="{00000000-0005-0000-0000-0000320D0000}"/>
    <cellStyle name="Normal 11 4 3 3" xfId="3458" xr:uid="{00000000-0005-0000-0000-0000330D0000}"/>
    <cellStyle name="Normal 11 4 3 3 2" xfId="3459" xr:uid="{00000000-0005-0000-0000-0000340D0000}"/>
    <cellStyle name="Normal 11 4 3 4" xfId="3460" xr:uid="{00000000-0005-0000-0000-0000350D0000}"/>
    <cellStyle name="Normal 11 4 3 4 2" xfId="3461" xr:uid="{00000000-0005-0000-0000-0000360D0000}"/>
    <cellStyle name="Normal 11 4 3 5" xfId="3462" xr:uid="{00000000-0005-0000-0000-0000370D0000}"/>
    <cellStyle name="Normal 11 4 4" xfId="3463" xr:uid="{00000000-0005-0000-0000-0000380D0000}"/>
    <cellStyle name="Normal 11 4 4 2" xfId="3464" xr:uid="{00000000-0005-0000-0000-0000390D0000}"/>
    <cellStyle name="Normal 11 4 4 2 2" xfId="3465" xr:uid="{00000000-0005-0000-0000-00003A0D0000}"/>
    <cellStyle name="Normal 11 4 4 3" xfId="3466" xr:uid="{00000000-0005-0000-0000-00003B0D0000}"/>
    <cellStyle name="Normal 11 4 4 3 2" xfId="3467" xr:uid="{00000000-0005-0000-0000-00003C0D0000}"/>
    <cellStyle name="Normal 11 4 4 4" xfId="3468" xr:uid="{00000000-0005-0000-0000-00003D0D0000}"/>
    <cellStyle name="Normal 11 4 5" xfId="3469" xr:uid="{00000000-0005-0000-0000-00003E0D0000}"/>
    <cellStyle name="Normal 11 4 5 2" xfId="3470" xr:uid="{00000000-0005-0000-0000-00003F0D0000}"/>
    <cellStyle name="Normal 11 4 6" xfId="3471" xr:uid="{00000000-0005-0000-0000-0000400D0000}"/>
    <cellStyle name="Normal 11 4 6 2" xfId="3472" xr:uid="{00000000-0005-0000-0000-0000410D0000}"/>
    <cellStyle name="Normal 11 4 7" xfId="3473" xr:uid="{00000000-0005-0000-0000-0000420D0000}"/>
    <cellStyle name="Normal 11 5" xfId="3474" xr:uid="{00000000-0005-0000-0000-0000430D0000}"/>
    <cellStyle name="Normal 11 5 10" xfId="3475" xr:uid="{00000000-0005-0000-0000-0000440D0000}"/>
    <cellStyle name="Normal 11 5 10 2" xfId="3476" xr:uid="{00000000-0005-0000-0000-0000450D0000}"/>
    <cellStyle name="Normal 11 5 10 3" xfId="3477" xr:uid="{00000000-0005-0000-0000-0000460D0000}"/>
    <cellStyle name="Normal 11 5 11" xfId="3478" xr:uid="{00000000-0005-0000-0000-0000470D0000}"/>
    <cellStyle name="Normal 11 5 11 2" xfId="3479" xr:uid="{00000000-0005-0000-0000-0000480D0000}"/>
    <cellStyle name="Normal 11 5 12" xfId="3480" xr:uid="{00000000-0005-0000-0000-0000490D0000}"/>
    <cellStyle name="Normal 11 5 12 2" xfId="3481" xr:uid="{00000000-0005-0000-0000-00004A0D0000}"/>
    <cellStyle name="Normal 11 5 13" xfId="3482" xr:uid="{00000000-0005-0000-0000-00004B0D0000}"/>
    <cellStyle name="Normal 11 5 14" xfId="3483" xr:uid="{00000000-0005-0000-0000-00004C0D0000}"/>
    <cellStyle name="Normal 11 5 15" xfId="3484" xr:uid="{00000000-0005-0000-0000-00004D0D0000}"/>
    <cellStyle name="Normal 11 5 16" xfId="3485" xr:uid="{00000000-0005-0000-0000-00004E0D0000}"/>
    <cellStyle name="Normal 11 5 17" xfId="3486" xr:uid="{00000000-0005-0000-0000-00004F0D0000}"/>
    <cellStyle name="Normal 11 5 18" xfId="3487" xr:uid="{00000000-0005-0000-0000-0000500D0000}"/>
    <cellStyle name="Normal 11 5 19" xfId="3488" xr:uid="{00000000-0005-0000-0000-0000510D0000}"/>
    <cellStyle name="Normal 11 5 19 2" xfId="3489" xr:uid="{00000000-0005-0000-0000-0000520D0000}"/>
    <cellStyle name="Normal 11 5 19 3" xfId="3490" xr:uid="{00000000-0005-0000-0000-0000530D0000}"/>
    <cellStyle name="Normal 11 5 19 4" xfId="3491" xr:uid="{00000000-0005-0000-0000-0000540D0000}"/>
    <cellStyle name="Normal 11 5 19 5" xfId="3492" xr:uid="{00000000-0005-0000-0000-0000550D0000}"/>
    <cellStyle name="Normal 11 5 19 6" xfId="3493" xr:uid="{00000000-0005-0000-0000-0000560D0000}"/>
    <cellStyle name="Normal 11 5 2" xfId="3494" xr:uid="{00000000-0005-0000-0000-0000570D0000}"/>
    <cellStyle name="Normal 11 5 2 2" xfId="3495" xr:uid="{00000000-0005-0000-0000-0000580D0000}"/>
    <cellStyle name="Normal 11 5 2 2 2" xfId="3496" xr:uid="{00000000-0005-0000-0000-0000590D0000}"/>
    <cellStyle name="Normal 11 5 2 2 2 2" xfId="3497" xr:uid="{00000000-0005-0000-0000-00005A0D0000}"/>
    <cellStyle name="Normal 11 5 2 2 3" xfId="3498" xr:uid="{00000000-0005-0000-0000-00005B0D0000}"/>
    <cellStyle name="Normal 11 5 2 2 3 2" xfId="3499" xr:uid="{00000000-0005-0000-0000-00005C0D0000}"/>
    <cellStyle name="Normal 11 5 2 2 4" xfId="3500" xr:uid="{00000000-0005-0000-0000-00005D0D0000}"/>
    <cellStyle name="Normal 11 5 2 2 5" xfId="3501" xr:uid="{00000000-0005-0000-0000-00005E0D0000}"/>
    <cellStyle name="Normal 11 5 2 3" xfId="3502" xr:uid="{00000000-0005-0000-0000-00005F0D0000}"/>
    <cellStyle name="Normal 11 5 2 3 2" xfId="3503" xr:uid="{00000000-0005-0000-0000-0000600D0000}"/>
    <cellStyle name="Normal 11 5 2 3 3" xfId="3504" xr:uid="{00000000-0005-0000-0000-0000610D0000}"/>
    <cellStyle name="Normal 11 5 2 4" xfId="3505" xr:uid="{00000000-0005-0000-0000-0000620D0000}"/>
    <cellStyle name="Normal 11 5 2 4 2" xfId="3506" xr:uid="{00000000-0005-0000-0000-0000630D0000}"/>
    <cellStyle name="Normal 11 5 2 4 3" xfId="3507" xr:uid="{00000000-0005-0000-0000-0000640D0000}"/>
    <cellStyle name="Normal 11 5 2 5" xfId="3508" xr:uid="{00000000-0005-0000-0000-0000650D0000}"/>
    <cellStyle name="Normal 11 5 2 6" xfId="3509" xr:uid="{00000000-0005-0000-0000-0000660D0000}"/>
    <cellStyle name="Normal 11 5 20" xfId="3510" xr:uid="{00000000-0005-0000-0000-0000670D0000}"/>
    <cellStyle name="Normal 11 5 21" xfId="3511" xr:uid="{00000000-0005-0000-0000-0000680D0000}"/>
    <cellStyle name="Normal 11 5 22" xfId="3512" xr:uid="{00000000-0005-0000-0000-0000690D0000}"/>
    <cellStyle name="Normal 11 5 23" xfId="3513" xr:uid="{00000000-0005-0000-0000-00006A0D0000}"/>
    <cellStyle name="Normal 11 5 24" xfId="3514" xr:uid="{00000000-0005-0000-0000-00006B0D0000}"/>
    <cellStyle name="Normal 11 5 25" xfId="3515" xr:uid="{00000000-0005-0000-0000-00006C0D0000}"/>
    <cellStyle name="Normal 11 5 26" xfId="3516" xr:uid="{00000000-0005-0000-0000-00006D0D0000}"/>
    <cellStyle name="Normal 11 5 27" xfId="3517" xr:uid="{00000000-0005-0000-0000-00006E0D0000}"/>
    <cellStyle name="Normal 11 5 28" xfId="3518" xr:uid="{00000000-0005-0000-0000-00006F0D0000}"/>
    <cellStyle name="Normal 11 5 3" xfId="3519" xr:uid="{00000000-0005-0000-0000-0000700D0000}"/>
    <cellStyle name="Normal 11 5 3 2" xfId="3520" xr:uid="{00000000-0005-0000-0000-0000710D0000}"/>
    <cellStyle name="Normal 11 5 3 2 2" xfId="3521" xr:uid="{00000000-0005-0000-0000-0000720D0000}"/>
    <cellStyle name="Normal 11 5 3 2 2 2" xfId="3522" xr:uid="{00000000-0005-0000-0000-0000730D0000}"/>
    <cellStyle name="Normal 11 5 3 2 2 3" xfId="3523" xr:uid="{00000000-0005-0000-0000-0000740D0000}"/>
    <cellStyle name="Normal 11 5 3 2 3" xfId="3524" xr:uid="{00000000-0005-0000-0000-0000750D0000}"/>
    <cellStyle name="Normal 11 5 3 2 3 2" xfId="3525" xr:uid="{00000000-0005-0000-0000-0000760D0000}"/>
    <cellStyle name="Normal 11 5 3 2 3 3" xfId="3526" xr:uid="{00000000-0005-0000-0000-0000770D0000}"/>
    <cellStyle name="Normal 11 5 3 2 4" xfId="3527" xr:uid="{00000000-0005-0000-0000-0000780D0000}"/>
    <cellStyle name="Normal 11 5 3 2 5" xfId="3528" xr:uid="{00000000-0005-0000-0000-0000790D0000}"/>
    <cellStyle name="Normal 11 5 3 3" xfId="3529" xr:uid="{00000000-0005-0000-0000-00007A0D0000}"/>
    <cellStyle name="Normal 11 5 3 3 2" xfId="3530" xr:uid="{00000000-0005-0000-0000-00007B0D0000}"/>
    <cellStyle name="Normal 11 5 3 3 3" xfId="3531" xr:uid="{00000000-0005-0000-0000-00007C0D0000}"/>
    <cellStyle name="Normal 11 5 3 3 4" xfId="3532" xr:uid="{00000000-0005-0000-0000-00007D0D0000}"/>
    <cellStyle name="Normal 11 5 3 3 5" xfId="3533" xr:uid="{00000000-0005-0000-0000-00007E0D0000}"/>
    <cellStyle name="Normal 11 5 3 4" xfId="3534" xr:uid="{00000000-0005-0000-0000-00007F0D0000}"/>
    <cellStyle name="Normal 11 5 3 4 2" xfId="3535" xr:uid="{00000000-0005-0000-0000-0000800D0000}"/>
    <cellStyle name="Normal 11 5 3 4 3" xfId="3536" xr:uid="{00000000-0005-0000-0000-0000810D0000}"/>
    <cellStyle name="Normal 11 5 3 5" xfId="3537" xr:uid="{00000000-0005-0000-0000-0000820D0000}"/>
    <cellStyle name="Normal 11 5 3 5 2" xfId="3538" xr:uid="{00000000-0005-0000-0000-0000830D0000}"/>
    <cellStyle name="Normal 11 5 3 5 3" xfId="3539" xr:uid="{00000000-0005-0000-0000-0000840D0000}"/>
    <cellStyle name="Normal 11 5 3 6" xfId="3540" xr:uid="{00000000-0005-0000-0000-0000850D0000}"/>
    <cellStyle name="Normal 11 5 3 7" xfId="3541" xr:uid="{00000000-0005-0000-0000-0000860D0000}"/>
    <cellStyle name="Normal 11 5 4" xfId="3542" xr:uid="{00000000-0005-0000-0000-0000870D0000}"/>
    <cellStyle name="Normal 11 5 4 2" xfId="3543" xr:uid="{00000000-0005-0000-0000-0000880D0000}"/>
    <cellStyle name="Normal 11 5 4 2 2" xfId="3544" xr:uid="{00000000-0005-0000-0000-0000890D0000}"/>
    <cellStyle name="Normal 11 5 4 2 3" xfId="3545" xr:uid="{00000000-0005-0000-0000-00008A0D0000}"/>
    <cellStyle name="Normal 11 5 4 2 4" xfId="3546" xr:uid="{00000000-0005-0000-0000-00008B0D0000}"/>
    <cellStyle name="Normal 11 5 4 2 5" xfId="3547" xr:uid="{00000000-0005-0000-0000-00008C0D0000}"/>
    <cellStyle name="Normal 11 5 4 3" xfId="3548" xr:uid="{00000000-0005-0000-0000-00008D0D0000}"/>
    <cellStyle name="Normal 11 5 4 3 2" xfId="3549" xr:uid="{00000000-0005-0000-0000-00008E0D0000}"/>
    <cellStyle name="Normal 11 5 4 3 3" xfId="3550" xr:uid="{00000000-0005-0000-0000-00008F0D0000}"/>
    <cellStyle name="Normal 11 5 4 4" xfId="3551" xr:uid="{00000000-0005-0000-0000-0000900D0000}"/>
    <cellStyle name="Normal 11 5 4 4 2" xfId="3552" xr:uid="{00000000-0005-0000-0000-0000910D0000}"/>
    <cellStyle name="Normal 11 5 4 4 3" xfId="3553" xr:uid="{00000000-0005-0000-0000-0000920D0000}"/>
    <cellStyle name="Normal 11 5 4 5" xfId="3554" xr:uid="{00000000-0005-0000-0000-0000930D0000}"/>
    <cellStyle name="Normal 11 5 4 6" xfId="3555" xr:uid="{00000000-0005-0000-0000-0000940D0000}"/>
    <cellStyle name="Normal 11 5 5" xfId="3556" xr:uid="{00000000-0005-0000-0000-0000950D0000}"/>
    <cellStyle name="Normal 11 5 5 2" xfId="3557" xr:uid="{00000000-0005-0000-0000-0000960D0000}"/>
    <cellStyle name="Normal 11 5 5 2 2" xfId="3558" xr:uid="{00000000-0005-0000-0000-0000970D0000}"/>
    <cellStyle name="Normal 11 5 5 2 3" xfId="3559" xr:uid="{00000000-0005-0000-0000-0000980D0000}"/>
    <cellStyle name="Normal 11 5 5 2 4" xfId="3560" xr:uid="{00000000-0005-0000-0000-0000990D0000}"/>
    <cellStyle name="Normal 11 5 5 2 5" xfId="3561" xr:uid="{00000000-0005-0000-0000-00009A0D0000}"/>
    <cellStyle name="Normal 11 5 5 3" xfId="3562" xr:uid="{00000000-0005-0000-0000-00009B0D0000}"/>
    <cellStyle name="Normal 11 5 5 3 2" xfId="3563" xr:uid="{00000000-0005-0000-0000-00009C0D0000}"/>
    <cellStyle name="Normal 11 5 5 3 3" xfId="3564" xr:uid="{00000000-0005-0000-0000-00009D0D0000}"/>
    <cellStyle name="Normal 11 5 5 4" xfId="3565" xr:uid="{00000000-0005-0000-0000-00009E0D0000}"/>
    <cellStyle name="Normal 11 5 5 4 2" xfId="3566" xr:uid="{00000000-0005-0000-0000-00009F0D0000}"/>
    <cellStyle name="Normal 11 5 5 4 3" xfId="3567" xr:uid="{00000000-0005-0000-0000-0000A00D0000}"/>
    <cellStyle name="Normal 11 5 5 5" xfId="3568" xr:uid="{00000000-0005-0000-0000-0000A10D0000}"/>
    <cellStyle name="Normal 11 5 5 6" xfId="3569" xr:uid="{00000000-0005-0000-0000-0000A20D0000}"/>
    <cellStyle name="Normal 11 5 6" xfId="3570" xr:uid="{00000000-0005-0000-0000-0000A30D0000}"/>
    <cellStyle name="Normal 11 5 6 2" xfId="3571" xr:uid="{00000000-0005-0000-0000-0000A40D0000}"/>
    <cellStyle name="Normal 11 5 6 2 2" xfId="3572" xr:uid="{00000000-0005-0000-0000-0000A50D0000}"/>
    <cellStyle name="Normal 11 5 6 2 3" xfId="3573" xr:uid="{00000000-0005-0000-0000-0000A60D0000}"/>
    <cellStyle name="Normal 11 5 6 2 4" xfId="3574" xr:uid="{00000000-0005-0000-0000-0000A70D0000}"/>
    <cellStyle name="Normal 11 5 6 2 5" xfId="3575" xr:uid="{00000000-0005-0000-0000-0000A80D0000}"/>
    <cellStyle name="Normal 11 5 6 3" xfId="3576" xr:uid="{00000000-0005-0000-0000-0000A90D0000}"/>
    <cellStyle name="Normal 11 5 6 3 2" xfId="3577" xr:uid="{00000000-0005-0000-0000-0000AA0D0000}"/>
    <cellStyle name="Normal 11 5 6 3 3" xfId="3578" xr:uid="{00000000-0005-0000-0000-0000AB0D0000}"/>
    <cellStyle name="Normal 11 5 6 4" xfId="3579" xr:uid="{00000000-0005-0000-0000-0000AC0D0000}"/>
    <cellStyle name="Normal 11 5 6 4 2" xfId="3580" xr:uid="{00000000-0005-0000-0000-0000AD0D0000}"/>
    <cellStyle name="Normal 11 5 6 4 3" xfId="3581" xr:uid="{00000000-0005-0000-0000-0000AE0D0000}"/>
    <cellStyle name="Normal 11 5 6 5" xfId="3582" xr:uid="{00000000-0005-0000-0000-0000AF0D0000}"/>
    <cellStyle name="Normal 11 5 6 5 2" xfId="3583" xr:uid="{00000000-0005-0000-0000-0000B00D0000}"/>
    <cellStyle name="Normal 11 5 6 6" xfId="3584" xr:uid="{00000000-0005-0000-0000-0000B10D0000}"/>
    <cellStyle name="Normal 11 5 6 7" xfId="3585" xr:uid="{00000000-0005-0000-0000-0000B20D0000}"/>
    <cellStyle name="Normal 11 5 7" xfId="3586" xr:uid="{00000000-0005-0000-0000-0000B30D0000}"/>
    <cellStyle name="Normal 11 5 7 2" xfId="3587" xr:uid="{00000000-0005-0000-0000-0000B40D0000}"/>
    <cellStyle name="Normal 11 5 7 2 2" xfId="3588" xr:uid="{00000000-0005-0000-0000-0000B50D0000}"/>
    <cellStyle name="Normal 11 5 7 2 3" xfId="3589" xr:uid="{00000000-0005-0000-0000-0000B60D0000}"/>
    <cellStyle name="Normal 11 5 7 3" xfId="3590" xr:uid="{00000000-0005-0000-0000-0000B70D0000}"/>
    <cellStyle name="Normal 11 5 7 3 2" xfId="3591" xr:uid="{00000000-0005-0000-0000-0000B80D0000}"/>
    <cellStyle name="Normal 11 5 7 3 3" xfId="3592" xr:uid="{00000000-0005-0000-0000-0000B90D0000}"/>
    <cellStyle name="Normal 11 5 7 4" xfId="3593" xr:uid="{00000000-0005-0000-0000-0000BA0D0000}"/>
    <cellStyle name="Normal 11 5 7 4 2" xfId="3594" xr:uid="{00000000-0005-0000-0000-0000BB0D0000}"/>
    <cellStyle name="Normal 11 5 7 5" xfId="3595" xr:uid="{00000000-0005-0000-0000-0000BC0D0000}"/>
    <cellStyle name="Normal 11 5 7 6" xfId="3596" xr:uid="{00000000-0005-0000-0000-0000BD0D0000}"/>
    <cellStyle name="Normal 11 5 8" xfId="3597" xr:uid="{00000000-0005-0000-0000-0000BE0D0000}"/>
    <cellStyle name="Normal 11 5 8 2" xfId="3598" xr:uid="{00000000-0005-0000-0000-0000BF0D0000}"/>
    <cellStyle name="Normal 11 5 8 3" xfId="3599" xr:uid="{00000000-0005-0000-0000-0000C00D0000}"/>
    <cellStyle name="Normal 11 5 8 4" xfId="3600" xr:uid="{00000000-0005-0000-0000-0000C10D0000}"/>
    <cellStyle name="Normal 11 5 8 5" xfId="3601" xr:uid="{00000000-0005-0000-0000-0000C20D0000}"/>
    <cellStyle name="Normal 11 5 9" xfId="3602" xr:uid="{00000000-0005-0000-0000-0000C30D0000}"/>
    <cellStyle name="Normal 11 5 9 2" xfId="3603" xr:uid="{00000000-0005-0000-0000-0000C40D0000}"/>
    <cellStyle name="Normal 11 5 9 3" xfId="3604" xr:uid="{00000000-0005-0000-0000-0000C50D0000}"/>
    <cellStyle name="Normal 11 5_10070" xfId="3605" xr:uid="{00000000-0005-0000-0000-0000C60D0000}"/>
    <cellStyle name="Normal 11 6" xfId="3606" xr:uid="{00000000-0005-0000-0000-0000C70D0000}"/>
    <cellStyle name="Normal 11 6 2" xfId="3607" xr:uid="{00000000-0005-0000-0000-0000C80D0000}"/>
    <cellStyle name="Normal 11 6 2 2" xfId="3608" xr:uid="{00000000-0005-0000-0000-0000C90D0000}"/>
    <cellStyle name="Normal 11 6 2 2 2" xfId="3609" xr:uid="{00000000-0005-0000-0000-0000CA0D0000}"/>
    <cellStyle name="Normal 11 6 2 3" xfId="3610" xr:uid="{00000000-0005-0000-0000-0000CB0D0000}"/>
    <cellStyle name="Normal 11 6 2 3 2" xfId="3611" xr:uid="{00000000-0005-0000-0000-0000CC0D0000}"/>
    <cellStyle name="Normal 11 6 2 4" xfId="3612" xr:uid="{00000000-0005-0000-0000-0000CD0D0000}"/>
    <cellStyle name="Normal 11 6 3" xfId="3613" xr:uid="{00000000-0005-0000-0000-0000CE0D0000}"/>
    <cellStyle name="Normal 11 6 3 2" xfId="3614" xr:uid="{00000000-0005-0000-0000-0000CF0D0000}"/>
    <cellStyle name="Normal 11 6 3 3" xfId="3615" xr:uid="{00000000-0005-0000-0000-0000D00D0000}"/>
    <cellStyle name="Normal 11 6 4" xfId="3616" xr:uid="{00000000-0005-0000-0000-0000D10D0000}"/>
    <cellStyle name="Normal 11 6 4 2" xfId="3617" xr:uid="{00000000-0005-0000-0000-0000D20D0000}"/>
    <cellStyle name="Normal 11 6 5" xfId="3618" xr:uid="{00000000-0005-0000-0000-0000D30D0000}"/>
    <cellStyle name="Normal 11 7" xfId="3619" xr:uid="{00000000-0005-0000-0000-0000D40D0000}"/>
    <cellStyle name="Normal 11 7 2" xfId="3620" xr:uid="{00000000-0005-0000-0000-0000D50D0000}"/>
    <cellStyle name="Normal 11 7 2 2" xfId="3621" xr:uid="{00000000-0005-0000-0000-0000D60D0000}"/>
    <cellStyle name="Normal 11 7 3" xfId="3622" xr:uid="{00000000-0005-0000-0000-0000D70D0000}"/>
    <cellStyle name="Normal 11 7 3 2" xfId="3623" xr:uid="{00000000-0005-0000-0000-0000D80D0000}"/>
    <cellStyle name="Normal 11 7 4" xfId="3624" xr:uid="{00000000-0005-0000-0000-0000D90D0000}"/>
    <cellStyle name="Normal 11 7 5" xfId="3625" xr:uid="{00000000-0005-0000-0000-0000DA0D0000}"/>
    <cellStyle name="Normal 11 8" xfId="3626" xr:uid="{00000000-0005-0000-0000-0000DB0D0000}"/>
    <cellStyle name="Normal 11 8 2" xfId="3627" xr:uid="{00000000-0005-0000-0000-0000DC0D0000}"/>
    <cellStyle name="Normal 11 8 3" xfId="3628" xr:uid="{00000000-0005-0000-0000-0000DD0D0000}"/>
    <cellStyle name="Normal 11 9" xfId="3629" xr:uid="{00000000-0005-0000-0000-0000DE0D0000}"/>
    <cellStyle name="Normal 11 9 2" xfId="3630" xr:uid="{00000000-0005-0000-0000-0000DF0D0000}"/>
    <cellStyle name="Normal 11_2180" xfId="3631" xr:uid="{00000000-0005-0000-0000-0000E00D0000}"/>
    <cellStyle name="Normal 110" xfId="3632" xr:uid="{00000000-0005-0000-0000-0000E10D0000}"/>
    <cellStyle name="Normal 110 2" xfId="3633" xr:uid="{00000000-0005-0000-0000-0000E20D0000}"/>
    <cellStyle name="Normal 111" xfId="3634" xr:uid="{00000000-0005-0000-0000-0000E30D0000}"/>
    <cellStyle name="Normal 111 2" xfId="3635" xr:uid="{00000000-0005-0000-0000-0000E40D0000}"/>
    <cellStyle name="Normal 111 3" xfId="3636" xr:uid="{00000000-0005-0000-0000-0000E50D0000}"/>
    <cellStyle name="Normal 112" xfId="3637" xr:uid="{00000000-0005-0000-0000-0000E60D0000}"/>
    <cellStyle name="Normal 112 2" xfId="3638" xr:uid="{00000000-0005-0000-0000-0000E70D0000}"/>
    <cellStyle name="Normal 112 3" xfId="3639" xr:uid="{00000000-0005-0000-0000-0000E80D0000}"/>
    <cellStyle name="Normal 113" xfId="3640" xr:uid="{00000000-0005-0000-0000-0000E90D0000}"/>
    <cellStyle name="Normal 113 2" xfId="3641" xr:uid="{00000000-0005-0000-0000-0000EA0D0000}"/>
    <cellStyle name="Normal 113 3" xfId="3642" xr:uid="{00000000-0005-0000-0000-0000EB0D0000}"/>
    <cellStyle name="Normal 113 4" xfId="3643" xr:uid="{00000000-0005-0000-0000-0000EC0D0000}"/>
    <cellStyle name="Normal 114" xfId="3644" xr:uid="{00000000-0005-0000-0000-0000ED0D0000}"/>
    <cellStyle name="Normal 114 2" xfId="3645" xr:uid="{00000000-0005-0000-0000-0000EE0D0000}"/>
    <cellStyle name="Normal 115" xfId="3646" xr:uid="{00000000-0005-0000-0000-0000EF0D0000}"/>
    <cellStyle name="Normal 116" xfId="3647" xr:uid="{00000000-0005-0000-0000-0000F00D0000}"/>
    <cellStyle name="Normal 117" xfId="3648" xr:uid="{00000000-0005-0000-0000-0000F10D0000}"/>
    <cellStyle name="Normal 117 2" xfId="3649" xr:uid="{00000000-0005-0000-0000-0000F20D0000}"/>
    <cellStyle name="Normal 118" xfId="3650" xr:uid="{00000000-0005-0000-0000-0000F30D0000}"/>
    <cellStyle name="Normal 118 2" xfId="3651" xr:uid="{00000000-0005-0000-0000-0000F40D0000}"/>
    <cellStyle name="Normal 119" xfId="3652" xr:uid="{00000000-0005-0000-0000-0000F50D0000}"/>
    <cellStyle name="Normal 12" xfId="80" xr:uid="{00000000-0005-0000-0000-0000F60D0000}"/>
    <cellStyle name="Normal 12 10" xfId="3653" xr:uid="{00000000-0005-0000-0000-0000F70D0000}"/>
    <cellStyle name="Normal 12 2" xfId="217" xr:uid="{00000000-0005-0000-0000-0000F80D0000}"/>
    <cellStyle name="Normal 12 2 2" xfId="3655" xr:uid="{00000000-0005-0000-0000-0000F90D0000}"/>
    <cellStyle name="Normal 12 2 2 2" xfId="3656" xr:uid="{00000000-0005-0000-0000-0000FA0D0000}"/>
    <cellStyle name="Normal 12 2 2 2 2" xfId="3657" xr:uid="{00000000-0005-0000-0000-0000FB0D0000}"/>
    <cellStyle name="Normal 12 2 2 2 2 2" xfId="3658" xr:uid="{00000000-0005-0000-0000-0000FC0D0000}"/>
    <cellStyle name="Normal 12 2 2 2 2 2 2" xfId="3659" xr:uid="{00000000-0005-0000-0000-0000FD0D0000}"/>
    <cellStyle name="Normal 12 2 2 2 2 2 2 2" xfId="3660" xr:uid="{00000000-0005-0000-0000-0000FE0D0000}"/>
    <cellStyle name="Normal 12 2 2 2 2 2 3" xfId="3661" xr:uid="{00000000-0005-0000-0000-0000FF0D0000}"/>
    <cellStyle name="Normal 12 2 2 2 2 2 3 2" xfId="3662" xr:uid="{00000000-0005-0000-0000-0000000E0000}"/>
    <cellStyle name="Normal 12 2 2 2 2 2 4" xfId="3663" xr:uid="{00000000-0005-0000-0000-0000010E0000}"/>
    <cellStyle name="Normal 12 2 2 2 2 3" xfId="3664" xr:uid="{00000000-0005-0000-0000-0000020E0000}"/>
    <cellStyle name="Normal 12 2 2 2 2 3 2" xfId="3665" xr:uid="{00000000-0005-0000-0000-0000030E0000}"/>
    <cellStyle name="Normal 12 2 2 2 2 4" xfId="3666" xr:uid="{00000000-0005-0000-0000-0000040E0000}"/>
    <cellStyle name="Normal 12 2 2 2 2 4 2" xfId="3667" xr:uid="{00000000-0005-0000-0000-0000050E0000}"/>
    <cellStyle name="Normal 12 2 2 2 2 5" xfId="3668" xr:uid="{00000000-0005-0000-0000-0000060E0000}"/>
    <cellStyle name="Normal 12 2 2 2 3" xfId="3669" xr:uid="{00000000-0005-0000-0000-0000070E0000}"/>
    <cellStyle name="Normal 12 2 2 2 3 2" xfId="3670" xr:uid="{00000000-0005-0000-0000-0000080E0000}"/>
    <cellStyle name="Normal 12 2 2 2 3 2 2" xfId="3671" xr:uid="{00000000-0005-0000-0000-0000090E0000}"/>
    <cellStyle name="Normal 12 2 2 2 3 3" xfId="3672" xr:uid="{00000000-0005-0000-0000-00000A0E0000}"/>
    <cellStyle name="Normal 12 2 2 2 3 3 2" xfId="3673" xr:uid="{00000000-0005-0000-0000-00000B0E0000}"/>
    <cellStyle name="Normal 12 2 2 2 3 4" xfId="3674" xr:uid="{00000000-0005-0000-0000-00000C0E0000}"/>
    <cellStyle name="Normal 12 2 2 2 4" xfId="3675" xr:uid="{00000000-0005-0000-0000-00000D0E0000}"/>
    <cellStyle name="Normal 12 2 2 2 4 2" xfId="3676" xr:uid="{00000000-0005-0000-0000-00000E0E0000}"/>
    <cellStyle name="Normal 12 2 2 2 5" xfId="3677" xr:uid="{00000000-0005-0000-0000-00000F0E0000}"/>
    <cellStyle name="Normal 12 2 2 2 5 2" xfId="3678" xr:uid="{00000000-0005-0000-0000-0000100E0000}"/>
    <cellStyle name="Normal 12 2 2 2 6" xfId="3679" xr:uid="{00000000-0005-0000-0000-0000110E0000}"/>
    <cellStyle name="Normal 12 2 2 3" xfId="3680" xr:uid="{00000000-0005-0000-0000-0000120E0000}"/>
    <cellStyle name="Normal 12 2 2 3 2" xfId="3681" xr:uid="{00000000-0005-0000-0000-0000130E0000}"/>
    <cellStyle name="Normal 12 2 2 3 2 2" xfId="3682" xr:uid="{00000000-0005-0000-0000-0000140E0000}"/>
    <cellStyle name="Normal 12 2 2 3 2 2 2" xfId="3683" xr:uid="{00000000-0005-0000-0000-0000150E0000}"/>
    <cellStyle name="Normal 12 2 2 3 2 3" xfId="3684" xr:uid="{00000000-0005-0000-0000-0000160E0000}"/>
    <cellStyle name="Normal 12 2 2 3 2 3 2" xfId="3685" xr:uid="{00000000-0005-0000-0000-0000170E0000}"/>
    <cellStyle name="Normal 12 2 2 3 2 4" xfId="3686" xr:uid="{00000000-0005-0000-0000-0000180E0000}"/>
    <cellStyle name="Normal 12 2 2 3 3" xfId="3687" xr:uid="{00000000-0005-0000-0000-0000190E0000}"/>
    <cellStyle name="Normal 12 2 2 3 3 2" xfId="3688" xr:uid="{00000000-0005-0000-0000-00001A0E0000}"/>
    <cellStyle name="Normal 12 2 2 3 4" xfId="3689" xr:uid="{00000000-0005-0000-0000-00001B0E0000}"/>
    <cellStyle name="Normal 12 2 2 3 4 2" xfId="3690" xr:uid="{00000000-0005-0000-0000-00001C0E0000}"/>
    <cellStyle name="Normal 12 2 2 3 5" xfId="3691" xr:uid="{00000000-0005-0000-0000-00001D0E0000}"/>
    <cellStyle name="Normal 12 2 2 4" xfId="3692" xr:uid="{00000000-0005-0000-0000-00001E0E0000}"/>
    <cellStyle name="Normal 12 2 2 4 2" xfId="3693" xr:uid="{00000000-0005-0000-0000-00001F0E0000}"/>
    <cellStyle name="Normal 12 2 2 4 2 2" xfId="3694" xr:uid="{00000000-0005-0000-0000-0000200E0000}"/>
    <cellStyle name="Normal 12 2 2 4 3" xfId="3695" xr:uid="{00000000-0005-0000-0000-0000210E0000}"/>
    <cellStyle name="Normal 12 2 2 4 3 2" xfId="3696" xr:uid="{00000000-0005-0000-0000-0000220E0000}"/>
    <cellStyle name="Normal 12 2 2 4 4" xfId="3697" xr:uid="{00000000-0005-0000-0000-0000230E0000}"/>
    <cellStyle name="Normal 12 2 2 5" xfId="3698" xr:uid="{00000000-0005-0000-0000-0000240E0000}"/>
    <cellStyle name="Normal 12 2 2 5 2" xfId="3699" xr:uid="{00000000-0005-0000-0000-0000250E0000}"/>
    <cellStyle name="Normal 12 2 2 6" xfId="3700" xr:uid="{00000000-0005-0000-0000-0000260E0000}"/>
    <cellStyle name="Normal 12 2 2 6 2" xfId="3701" xr:uid="{00000000-0005-0000-0000-0000270E0000}"/>
    <cellStyle name="Normal 12 2 2 7" xfId="3702" xr:uid="{00000000-0005-0000-0000-0000280E0000}"/>
    <cellStyle name="Normal 12 2 3" xfId="3703" xr:uid="{00000000-0005-0000-0000-0000290E0000}"/>
    <cellStyle name="Normal 12 2 3 2" xfId="3704" xr:uid="{00000000-0005-0000-0000-00002A0E0000}"/>
    <cellStyle name="Normal 12 2 3 2 2" xfId="3705" xr:uid="{00000000-0005-0000-0000-00002B0E0000}"/>
    <cellStyle name="Normal 12 2 3 2 2 2" xfId="3706" xr:uid="{00000000-0005-0000-0000-00002C0E0000}"/>
    <cellStyle name="Normal 12 2 3 2 2 2 2" xfId="3707" xr:uid="{00000000-0005-0000-0000-00002D0E0000}"/>
    <cellStyle name="Normal 12 2 3 2 2 3" xfId="3708" xr:uid="{00000000-0005-0000-0000-00002E0E0000}"/>
    <cellStyle name="Normal 12 2 3 2 2 3 2" xfId="3709" xr:uid="{00000000-0005-0000-0000-00002F0E0000}"/>
    <cellStyle name="Normal 12 2 3 2 2 4" xfId="3710" xr:uid="{00000000-0005-0000-0000-0000300E0000}"/>
    <cellStyle name="Normal 12 2 3 2 3" xfId="3711" xr:uid="{00000000-0005-0000-0000-0000310E0000}"/>
    <cellStyle name="Normal 12 2 3 2 3 2" xfId="3712" xr:uid="{00000000-0005-0000-0000-0000320E0000}"/>
    <cellStyle name="Normal 12 2 3 2 4" xfId="3713" xr:uid="{00000000-0005-0000-0000-0000330E0000}"/>
    <cellStyle name="Normal 12 2 3 2 4 2" xfId="3714" xr:uid="{00000000-0005-0000-0000-0000340E0000}"/>
    <cellStyle name="Normal 12 2 3 2 5" xfId="3715" xr:uid="{00000000-0005-0000-0000-0000350E0000}"/>
    <cellStyle name="Normal 12 2 3 3" xfId="3716" xr:uid="{00000000-0005-0000-0000-0000360E0000}"/>
    <cellStyle name="Normal 12 2 3 3 2" xfId="3717" xr:uid="{00000000-0005-0000-0000-0000370E0000}"/>
    <cellStyle name="Normal 12 2 3 3 2 2" xfId="3718" xr:uid="{00000000-0005-0000-0000-0000380E0000}"/>
    <cellStyle name="Normal 12 2 3 3 3" xfId="3719" xr:uid="{00000000-0005-0000-0000-0000390E0000}"/>
    <cellStyle name="Normal 12 2 3 3 3 2" xfId="3720" xr:uid="{00000000-0005-0000-0000-00003A0E0000}"/>
    <cellStyle name="Normal 12 2 3 3 4" xfId="3721" xr:uid="{00000000-0005-0000-0000-00003B0E0000}"/>
    <cellStyle name="Normal 12 2 3 4" xfId="3722" xr:uid="{00000000-0005-0000-0000-00003C0E0000}"/>
    <cellStyle name="Normal 12 2 3 4 2" xfId="3723" xr:uid="{00000000-0005-0000-0000-00003D0E0000}"/>
    <cellStyle name="Normal 12 2 3 5" xfId="3724" xr:uid="{00000000-0005-0000-0000-00003E0E0000}"/>
    <cellStyle name="Normal 12 2 3 5 2" xfId="3725" xr:uid="{00000000-0005-0000-0000-00003F0E0000}"/>
    <cellStyle name="Normal 12 2 3 6" xfId="3726" xr:uid="{00000000-0005-0000-0000-0000400E0000}"/>
    <cellStyle name="Normal 12 2 4" xfId="3727" xr:uid="{00000000-0005-0000-0000-0000410E0000}"/>
    <cellStyle name="Normal 12 2 4 2" xfId="3728" xr:uid="{00000000-0005-0000-0000-0000420E0000}"/>
    <cellStyle name="Normal 12 2 4 2 2" xfId="3729" xr:uid="{00000000-0005-0000-0000-0000430E0000}"/>
    <cellStyle name="Normal 12 2 4 2 2 2" xfId="3730" xr:uid="{00000000-0005-0000-0000-0000440E0000}"/>
    <cellStyle name="Normal 12 2 4 2 3" xfId="3731" xr:uid="{00000000-0005-0000-0000-0000450E0000}"/>
    <cellStyle name="Normal 12 2 4 2 3 2" xfId="3732" xr:uid="{00000000-0005-0000-0000-0000460E0000}"/>
    <cellStyle name="Normal 12 2 4 2 4" xfId="3733" xr:uid="{00000000-0005-0000-0000-0000470E0000}"/>
    <cellStyle name="Normal 12 2 4 3" xfId="3734" xr:uid="{00000000-0005-0000-0000-0000480E0000}"/>
    <cellStyle name="Normal 12 2 4 3 2" xfId="3735" xr:uid="{00000000-0005-0000-0000-0000490E0000}"/>
    <cellStyle name="Normal 12 2 4 4" xfId="3736" xr:uid="{00000000-0005-0000-0000-00004A0E0000}"/>
    <cellStyle name="Normal 12 2 4 4 2" xfId="3737" xr:uid="{00000000-0005-0000-0000-00004B0E0000}"/>
    <cellStyle name="Normal 12 2 4 5" xfId="3738" xr:uid="{00000000-0005-0000-0000-00004C0E0000}"/>
    <cellStyle name="Normal 12 2 5" xfId="3739" xr:uid="{00000000-0005-0000-0000-00004D0E0000}"/>
    <cellStyle name="Normal 12 2 5 2" xfId="3740" xr:uid="{00000000-0005-0000-0000-00004E0E0000}"/>
    <cellStyle name="Normal 12 2 5 2 2" xfId="3741" xr:uid="{00000000-0005-0000-0000-00004F0E0000}"/>
    <cellStyle name="Normal 12 2 5 3" xfId="3742" xr:uid="{00000000-0005-0000-0000-0000500E0000}"/>
    <cellStyle name="Normal 12 2 5 3 2" xfId="3743" xr:uid="{00000000-0005-0000-0000-0000510E0000}"/>
    <cellStyle name="Normal 12 2 5 4" xfId="3744" xr:uid="{00000000-0005-0000-0000-0000520E0000}"/>
    <cellStyle name="Normal 12 2 6" xfId="3745" xr:uid="{00000000-0005-0000-0000-0000530E0000}"/>
    <cellStyle name="Normal 12 2 6 2" xfId="3746" xr:uid="{00000000-0005-0000-0000-0000540E0000}"/>
    <cellStyle name="Normal 12 2 7" xfId="3747" xr:uid="{00000000-0005-0000-0000-0000550E0000}"/>
    <cellStyle name="Normal 12 2 7 2" xfId="3748" xr:uid="{00000000-0005-0000-0000-0000560E0000}"/>
    <cellStyle name="Normal 12 2 8" xfId="3749" xr:uid="{00000000-0005-0000-0000-0000570E0000}"/>
    <cellStyle name="Normal 12 2 9" xfId="3654" xr:uid="{00000000-0005-0000-0000-0000580E0000}"/>
    <cellStyle name="Normal 12 3" xfId="3750" xr:uid="{00000000-0005-0000-0000-0000590E0000}"/>
    <cellStyle name="Normal 12 3 2" xfId="3751" xr:uid="{00000000-0005-0000-0000-00005A0E0000}"/>
    <cellStyle name="Normal 12 3 2 2" xfId="3752" xr:uid="{00000000-0005-0000-0000-00005B0E0000}"/>
    <cellStyle name="Normal 12 3 2 2 2" xfId="3753" xr:uid="{00000000-0005-0000-0000-00005C0E0000}"/>
    <cellStyle name="Normal 12 3 2 2 2 2" xfId="3754" xr:uid="{00000000-0005-0000-0000-00005D0E0000}"/>
    <cellStyle name="Normal 12 3 2 2 2 2 2" xfId="3755" xr:uid="{00000000-0005-0000-0000-00005E0E0000}"/>
    <cellStyle name="Normal 12 3 2 2 2 3" xfId="3756" xr:uid="{00000000-0005-0000-0000-00005F0E0000}"/>
    <cellStyle name="Normal 12 3 2 2 2 3 2" xfId="3757" xr:uid="{00000000-0005-0000-0000-0000600E0000}"/>
    <cellStyle name="Normal 12 3 2 2 2 4" xfId="3758" xr:uid="{00000000-0005-0000-0000-0000610E0000}"/>
    <cellStyle name="Normal 12 3 2 2 3" xfId="3759" xr:uid="{00000000-0005-0000-0000-0000620E0000}"/>
    <cellStyle name="Normal 12 3 2 2 3 2" xfId="3760" xr:uid="{00000000-0005-0000-0000-0000630E0000}"/>
    <cellStyle name="Normal 12 3 2 2 4" xfId="3761" xr:uid="{00000000-0005-0000-0000-0000640E0000}"/>
    <cellStyle name="Normal 12 3 2 2 4 2" xfId="3762" xr:uid="{00000000-0005-0000-0000-0000650E0000}"/>
    <cellStyle name="Normal 12 3 2 2 5" xfId="3763" xr:uid="{00000000-0005-0000-0000-0000660E0000}"/>
    <cellStyle name="Normal 12 3 2 3" xfId="3764" xr:uid="{00000000-0005-0000-0000-0000670E0000}"/>
    <cellStyle name="Normal 12 3 2 3 2" xfId="3765" xr:uid="{00000000-0005-0000-0000-0000680E0000}"/>
    <cellStyle name="Normal 12 3 2 3 2 2" xfId="3766" xr:uid="{00000000-0005-0000-0000-0000690E0000}"/>
    <cellStyle name="Normal 12 3 2 3 3" xfId="3767" xr:uid="{00000000-0005-0000-0000-00006A0E0000}"/>
    <cellStyle name="Normal 12 3 2 3 3 2" xfId="3768" xr:uid="{00000000-0005-0000-0000-00006B0E0000}"/>
    <cellStyle name="Normal 12 3 2 3 4" xfId="3769" xr:uid="{00000000-0005-0000-0000-00006C0E0000}"/>
    <cellStyle name="Normal 12 3 2 4" xfId="3770" xr:uid="{00000000-0005-0000-0000-00006D0E0000}"/>
    <cellStyle name="Normal 12 3 2 4 2" xfId="3771" xr:uid="{00000000-0005-0000-0000-00006E0E0000}"/>
    <cellStyle name="Normal 12 3 2 5" xfId="3772" xr:uid="{00000000-0005-0000-0000-00006F0E0000}"/>
    <cellStyle name="Normal 12 3 2 5 2" xfId="3773" xr:uid="{00000000-0005-0000-0000-0000700E0000}"/>
    <cellStyle name="Normal 12 3 2 6" xfId="3774" xr:uid="{00000000-0005-0000-0000-0000710E0000}"/>
    <cellStyle name="Normal 12 3 3" xfId="3775" xr:uid="{00000000-0005-0000-0000-0000720E0000}"/>
    <cellStyle name="Normal 12 3 3 2" xfId="3776" xr:uid="{00000000-0005-0000-0000-0000730E0000}"/>
    <cellStyle name="Normal 12 3 3 2 2" xfId="3777" xr:uid="{00000000-0005-0000-0000-0000740E0000}"/>
    <cellStyle name="Normal 12 3 3 2 2 2" xfId="3778" xr:uid="{00000000-0005-0000-0000-0000750E0000}"/>
    <cellStyle name="Normal 12 3 3 2 3" xfId="3779" xr:uid="{00000000-0005-0000-0000-0000760E0000}"/>
    <cellStyle name="Normal 12 3 3 2 3 2" xfId="3780" xr:uid="{00000000-0005-0000-0000-0000770E0000}"/>
    <cellStyle name="Normal 12 3 3 2 4" xfId="3781" xr:uid="{00000000-0005-0000-0000-0000780E0000}"/>
    <cellStyle name="Normal 12 3 3 3" xfId="3782" xr:uid="{00000000-0005-0000-0000-0000790E0000}"/>
    <cellStyle name="Normal 12 3 3 3 2" xfId="3783" xr:uid="{00000000-0005-0000-0000-00007A0E0000}"/>
    <cellStyle name="Normal 12 3 3 4" xfId="3784" xr:uid="{00000000-0005-0000-0000-00007B0E0000}"/>
    <cellStyle name="Normal 12 3 3 4 2" xfId="3785" xr:uid="{00000000-0005-0000-0000-00007C0E0000}"/>
    <cellStyle name="Normal 12 3 3 5" xfId="3786" xr:uid="{00000000-0005-0000-0000-00007D0E0000}"/>
    <cellStyle name="Normal 12 3 4" xfId="3787" xr:uid="{00000000-0005-0000-0000-00007E0E0000}"/>
    <cellStyle name="Normal 12 3 4 2" xfId="3788" xr:uid="{00000000-0005-0000-0000-00007F0E0000}"/>
    <cellStyle name="Normal 12 3 4 2 2" xfId="3789" xr:uid="{00000000-0005-0000-0000-0000800E0000}"/>
    <cellStyle name="Normal 12 3 4 3" xfId="3790" xr:uid="{00000000-0005-0000-0000-0000810E0000}"/>
    <cellStyle name="Normal 12 3 4 3 2" xfId="3791" xr:uid="{00000000-0005-0000-0000-0000820E0000}"/>
    <cellStyle name="Normal 12 3 4 4" xfId="3792" xr:uid="{00000000-0005-0000-0000-0000830E0000}"/>
    <cellStyle name="Normal 12 3 5" xfId="3793" xr:uid="{00000000-0005-0000-0000-0000840E0000}"/>
    <cellStyle name="Normal 12 3 5 2" xfId="3794" xr:uid="{00000000-0005-0000-0000-0000850E0000}"/>
    <cellStyle name="Normal 12 3 6" xfId="3795" xr:uid="{00000000-0005-0000-0000-0000860E0000}"/>
    <cellStyle name="Normal 12 3 6 2" xfId="3796" xr:uid="{00000000-0005-0000-0000-0000870E0000}"/>
    <cellStyle name="Normal 12 3 7" xfId="3797" xr:uid="{00000000-0005-0000-0000-0000880E0000}"/>
    <cellStyle name="Normal 12 3 8" xfId="3798" xr:uid="{00000000-0005-0000-0000-0000890E0000}"/>
    <cellStyle name="Normal 12 4" xfId="3799" xr:uid="{00000000-0005-0000-0000-00008A0E0000}"/>
    <cellStyle name="Normal 12 4 2" xfId="3800" xr:uid="{00000000-0005-0000-0000-00008B0E0000}"/>
    <cellStyle name="Normal 12 4 2 2" xfId="3801" xr:uid="{00000000-0005-0000-0000-00008C0E0000}"/>
    <cellStyle name="Normal 12 4 2 2 2" xfId="3802" xr:uid="{00000000-0005-0000-0000-00008D0E0000}"/>
    <cellStyle name="Normal 12 4 2 2 2 2" xfId="3803" xr:uid="{00000000-0005-0000-0000-00008E0E0000}"/>
    <cellStyle name="Normal 12 4 2 2 2 2 2" xfId="3804" xr:uid="{00000000-0005-0000-0000-00008F0E0000}"/>
    <cellStyle name="Normal 12 4 2 2 2 3" xfId="3805" xr:uid="{00000000-0005-0000-0000-0000900E0000}"/>
    <cellStyle name="Normal 12 4 2 2 2 3 2" xfId="3806" xr:uid="{00000000-0005-0000-0000-0000910E0000}"/>
    <cellStyle name="Normal 12 4 2 2 2 4" xfId="3807" xr:uid="{00000000-0005-0000-0000-0000920E0000}"/>
    <cellStyle name="Normal 12 4 2 2 3" xfId="3808" xr:uid="{00000000-0005-0000-0000-0000930E0000}"/>
    <cellStyle name="Normal 12 4 2 2 3 2" xfId="3809" xr:uid="{00000000-0005-0000-0000-0000940E0000}"/>
    <cellStyle name="Normal 12 4 2 2 4" xfId="3810" xr:uid="{00000000-0005-0000-0000-0000950E0000}"/>
    <cellStyle name="Normal 12 4 2 2 4 2" xfId="3811" xr:uid="{00000000-0005-0000-0000-0000960E0000}"/>
    <cellStyle name="Normal 12 4 2 2 5" xfId="3812" xr:uid="{00000000-0005-0000-0000-0000970E0000}"/>
    <cellStyle name="Normal 12 4 2 3" xfId="3813" xr:uid="{00000000-0005-0000-0000-0000980E0000}"/>
    <cellStyle name="Normal 12 4 2 3 2" xfId="3814" xr:uid="{00000000-0005-0000-0000-0000990E0000}"/>
    <cellStyle name="Normal 12 4 2 3 2 2" xfId="3815" xr:uid="{00000000-0005-0000-0000-00009A0E0000}"/>
    <cellStyle name="Normal 12 4 2 3 3" xfId="3816" xr:uid="{00000000-0005-0000-0000-00009B0E0000}"/>
    <cellStyle name="Normal 12 4 2 3 3 2" xfId="3817" xr:uid="{00000000-0005-0000-0000-00009C0E0000}"/>
    <cellStyle name="Normal 12 4 2 3 4" xfId="3818" xr:uid="{00000000-0005-0000-0000-00009D0E0000}"/>
    <cellStyle name="Normal 12 4 2 4" xfId="3819" xr:uid="{00000000-0005-0000-0000-00009E0E0000}"/>
    <cellStyle name="Normal 12 4 2 4 2" xfId="3820" xr:uid="{00000000-0005-0000-0000-00009F0E0000}"/>
    <cellStyle name="Normal 12 4 2 5" xfId="3821" xr:uid="{00000000-0005-0000-0000-0000A00E0000}"/>
    <cellStyle name="Normal 12 4 2 5 2" xfId="3822" xr:uid="{00000000-0005-0000-0000-0000A10E0000}"/>
    <cellStyle name="Normal 12 4 2 6" xfId="3823" xr:uid="{00000000-0005-0000-0000-0000A20E0000}"/>
    <cellStyle name="Normal 12 4 3" xfId="3824" xr:uid="{00000000-0005-0000-0000-0000A30E0000}"/>
    <cellStyle name="Normal 12 4 3 2" xfId="3825" xr:uid="{00000000-0005-0000-0000-0000A40E0000}"/>
    <cellStyle name="Normal 12 4 3 2 2" xfId="3826" xr:uid="{00000000-0005-0000-0000-0000A50E0000}"/>
    <cellStyle name="Normal 12 4 3 2 2 2" xfId="3827" xr:uid="{00000000-0005-0000-0000-0000A60E0000}"/>
    <cellStyle name="Normal 12 4 3 2 3" xfId="3828" xr:uid="{00000000-0005-0000-0000-0000A70E0000}"/>
    <cellStyle name="Normal 12 4 3 2 3 2" xfId="3829" xr:uid="{00000000-0005-0000-0000-0000A80E0000}"/>
    <cellStyle name="Normal 12 4 3 2 4" xfId="3830" xr:uid="{00000000-0005-0000-0000-0000A90E0000}"/>
    <cellStyle name="Normal 12 4 3 3" xfId="3831" xr:uid="{00000000-0005-0000-0000-0000AA0E0000}"/>
    <cellStyle name="Normal 12 4 3 3 2" xfId="3832" xr:uid="{00000000-0005-0000-0000-0000AB0E0000}"/>
    <cellStyle name="Normal 12 4 3 4" xfId="3833" xr:uid="{00000000-0005-0000-0000-0000AC0E0000}"/>
    <cellStyle name="Normal 12 4 3 4 2" xfId="3834" xr:uid="{00000000-0005-0000-0000-0000AD0E0000}"/>
    <cellStyle name="Normal 12 4 3 5" xfId="3835" xr:uid="{00000000-0005-0000-0000-0000AE0E0000}"/>
    <cellStyle name="Normal 12 4 4" xfId="3836" xr:uid="{00000000-0005-0000-0000-0000AF0E0000}"/>
    <cellStyle name="Normal 12 4 4 2" xfId="3837" xr:uid="{00000000-0005-0000-0000-0000B00E0000}"/>
    <cellStyle name="Normal 12 4 4 2 2" xfId="3838" xr:uid="{00000000-0005-0000-0000-0000B10E0000}"/>
    <cellStyle name="Normal 12 4 4 3" xfId="3839" xr:uid="{00000000-0005-0000-0000-0000B20E0000}"/>
    <cellStyle name="Normal 12 4 4 3 2" xfId="3840" xr:uid="{00000000-0005-0000-0000-0000B30E0000}"/>
    <cellStyle name="Normal 12 4 4 4" xfId="3841" xr:uid="{00000000-0005-0000-0000-0000B40E0000}"/>
    <cellStyle name="Normal 12 4 5" xfId="3842" xr:uid="{00000000-0005-0000-0000-0000B50E0000}"/>
    <cellStyle name="Normal 12 4 5 2" xfId="3843" xr:uid="{00000000-0005-0000-0000-0000B60E0000}"/>
    <cellStyle name="Normal 12 4 6" xfId="3844" xr:uid="{00000000-0005-0000-0000-0000B70E0000}"/>
    <cellStyle name="Normal 12 4 6 2" xfId="3845" xr:uid="{00000000-0005-0000-0000-0000B80E0000}"/>
    <cellStyle name="Normal 12 4 7" xfId="3846" xr:uid="{00000000-0005-0000-0000-0000B90E0000}"/>
    <cellStyle name="Normal 12 5" xfId="3847" xr:uid="{00000000-0005-0000-0000-0000BA0E0000}"/>
    <cellStyle name="Normal 12 5 2" xfId="3848" xr:uid="{00000000-0005-0000-0000-0000BB0E0000}"/>
    <cellStyle name="Normal 12 5 2 2" xfId="3849" xr:uid="{00000000-0005-0000-0000-0000BC0E0000}"/>
    <cellStyle name="Normal 12 5 2 2 2" xfId="3850" xr:uid="{00000000-0005-0000-0000-0000BD0E0000}"/>
    <cellStyle name="Normal 12 5 2 2 2 2" xfId="3851" xr:uid="{00000000-0005-0000-0000-0000BE0E0000}"/>
    <cellStyle name="Normal 12 5 2 2 3" xfId="3852" xr:uid="{00000000-0005-0000-0000-0000BF0E0000}"/>
    <cellStyle name="Normal 12 5 2 2 3 2" xfId="3853" xr:uid="{00000000-0005-0000-0000-0000C00E0000}"/>
    <cellStyle name="Normal 12 5 2 2 4" xfId="3854" xr:uid="{00000000-0005-0000-0000-0000C10E0000}"/>
    <cellStyle name="Normal 12 5 2 3" xfId="3855" xr:uid="{00000000-0005-0000-0000-0000C20E0000}"/>
    <cellStyle name="Normal 12 5 2 3 2" xfId="3856" xr:uid="{00000000-0005-0000-0000-0000C30E0000}"/>
    <cellStyle name="Normal 12 5 2 4" xfId="3857" xr:uid="{00000000-0005-0000-0000-0000C40E0000}"/>
    <cellStyle name="Normal 12 5 2 4 2" xfId="3858" xr:uid="{00000000-0005-0000-0000-0000C50E0000}"/>
    <cellStyle name="Normal 12 5 2 5" xfId="3859" xr:uid="{00000000-0005-0000-0000-0000C60E0000}"/>
    <cellStyle name="Normal 12 5 3" xfId="3860" xr:uid="{00000000-0005-0000-0000-0000C70E0000}"/>
    <cellStyle name="Normal 12 5 3 2" xfId="3861" xr:uid="{00000000-0005-0000-0000-0000C80E0000}"/>
    <cellStyle name="Normal 12 5 3 2 2" xfId="3862" xr:uid="{00000000-0005-0000-0000-0000C90E0000}"/>
    <cellStyle name="Normal 12 5 3 3" xfId="3863" xr:uid="{00000000-0005-0000-0000-0000CA0E0000}"/>
    <cellStyle name="Normal 12 5 3 3 2" xfId="3864" xr:uid="{00000000-0005-0000-0000-0000CB0E0000}"/>
    <cellStyle name="Normal 12 5 3 4" xfId="3865" xr:uid="{00000000-0005-0000-0000-0000CC0E0000}"/>
    <cellStyle name="Normal 12 5 4" xfId="3866" xr:uid="{00000000-0005-0000-0000-0000CD0E0000}"/>
    <cellStyle name="Normal 12 5 4 2" xfId="3867" xr:uid="{00000000-0005-0000-0000-0000CE0E0000}"/>
    <cellStyle name="Normal 12 5 5" xfId="3868" xr:uid="{00000000-0005-0000-0000-0000CF0E0000}"/>
    <cellStyle name="Normal 12 5 5 2" xfId="3869" xr:uid="{00000000-0005-0000-0000-0000D00E0000}"/>
    <cellStyle name="Normal 12 5 6" xfId="3870" xr:uid="{00000000-0005-0000-0000-0000D10E0000}"/>
    <cellStyle name="Normal 12 6" xfId="3871" xr:uid="{00000000-0005-0000-0000-0000D20E0000}"/>
    <cellStyle name="Normal 12 6 2" xfId="3872" xr:uid="{00000000-0005-0000-0000-0000D30E0000}"/>
    <cellStyle name="Normal 12 6 2 2" xfId="3873" xr:uid="{00000000-0005-0000-0000-0000D40E0000}"/>
    <cellStyle name="Normal 12 6 2 2 2" xfId="3874" xr:uid="{00000000-0005-0000-0000-0000D50E0000}"/>
    <cellStyle name="Normal 12 6 2 3" xfId="3875" xr:uid="{00000000-0005-0000-0000-0000D60E0000}"/>
    <cellStyle name="Normal 12 6 2 3 2" xfId="3876" xr:uid="{00000000-0005-0000-0000-0000D70E0000}"/>
    <cellStyle name="Normal 12 6 2 4" xfId="3877" xr:uid="{00000000-0005-0000-0000-0000D80E0000}"/>
    <cellStyle name="Normal 12 6 3" xfId="3878" xr:uid="{00000000-0005-0000-0000-0000D90E0000}"/>
    <cellStyle name="Normal 12 6 3 2" xfId="3879" xr:uid="{00000000-0005-0000-0000-0000DA0E0000}"/>
    <cellStyle name="Normal 12 6 4" xfId="3880" xr:uid="{00000000-0005-0000-0000-0000DB0E0000}"/>
    <cellStyle name="Normal 12 6 4 2" xfId="3881" xr:uid="{00000000-0005-0000-0000-0000DC0E0000}"/>
    <cellStyle name="Normal 12 6 5" xfId="3882" xr:uid="{00000000-0005-0000-0000-0000DD0E0000}"/>
    <cellStyle name="Normal 12 7" xfId="3883" xr:uid="{00000000-0005-0000-0000-0000DE0E0000}"/>
    <cellStyle name="Normal 12 7 2" xfId="3884" xr:uid="{00000000-0005-0000-0000-0000DF0E0000}"/>
    <cellStyle name="Normal 12 7 2 2" xfId="3885" xr:uid="{00000000-0005-0000-0000-0000E00E0000}"/>
    <cellStyle name="Normal 12 7 3" xfId="3886" xr:uid="{00000000-0005-0000-0000-0000E10E0000}"/>
    <cellStyle name="Normal 12 7 3 2" xfId="3887" xr:uid="{00000000-0005-0000-0000-0000E20E0000}"/>
    <cellStyle name="Normal 12 7 4" xfId="3888" xr:uid="{00000000-0005-0000-0000-0000E30E0000}"/>
    <cellStyle name="Normal 12 8" xfId="3889" xr:uid="{00000000-0005-0000-0000-0000E40E0000}"/>
    <cellStyle name="Normal 12 8 2" xfId="3890" xr:uid="{00000000-0005-0000-0000-0000E50E0000}"/>
    <cellStyle name="Normal 12 9" xfId="3891" xr:uid="{00000000-0005-0000-0000-0000E60E0000}"/>
    <cellStyle name="Normal 12 9 2" xfId="3892" xr:uid="{00000000-0005-0000-0000-0000E70E0000}"/>
    <cellStyle name="Normal 12_2180" xfId="3893" xr:uid="{00000000-0005-0000-0000-0000E80E0000}"/>
    <cellStyle name="Normal 120" xfId="3894" xr:uid="{00000000-0005-0000-0000-0000E90E0000}"/>
    <cellStyle name="Normal 121" xfId="3895" xr:uid="{00000000-0005-0000-0000-0000EA0E0000}"/>
    <cellStyle name="Normal 122" xfId="3896" xr:uid="{00000000-0005-0000-0000-0000EB0E0000}"/>
    <cellStyle name="Normal 123" xfId="3897" xr:uid="{00000000-0005-0000-0000-0000EC0E0000}"/>
    <cellStyle name="Normal 124" xfId="3898" xr:uid="{00000000-0005-0000-0000-0000ED0E0000}"/>
    <cellStyle name="Normal 125" xfId="3899" xr:uid="{00000000-0005-0000-0000-0000EE0E0000}"/>
    <cellStyle name="Normal 126" xfId="3900" xr:uid="{00000000-0005-0000-0000-0000EF0E0000}"/>
    <cellStyle name="Normal 127" xfId="3901" xr:uid="{00000000-0005-0000-0000-0000F00E0000}"/>
    <cellStyle name="Normal 128" xfId="3902" xr:uid="{00000000-0005-0000-0000-0000F10E0000}"/>
    <cellStyle name="Normal 128 2" xfId="3903" xr:uid="{00000000-0005-0000-0000-0000F20E0000}"/>
    <cellStyle name="Normal 129" xfId="3904" xr:uid="{00000000-0005-0000-0000-0000F30E0000}"/>
    <cellStyle name="Normal 13" xfId="81" xr:uid="{00000000-0005-0000-0000-0000F40E0000}"/>
    <cellStyle name="Normal 13 10" xfId="3906" xr:uid="{00000000-0005-0000-0000-0000F50E0000}"/>
    <cellStyle name="Normal 13 11" xfId="3905" xr:uid="{00000000-0005-0000-0000-0000F60E0000}"/>
    <cellStyle name="Normal 13 2" xfId="218" xr:uid="{00000000-0005-0000-0000-0000F70E0000}"/>
    <cellStyle name="Normal 13 2 2" xfId="3908" xr:uid="{00000000-0005-0000-0000-0000F80E0000}"/>
    <cellStyle name="Normal 13 2 2 2" xfId="3909" xr:uid="{00000000-0005-0000-0000-0000F90E0000}"/>
    <cellStyle name="Normal 13 2 2 2 2" xfId="3910" xr:uid="{00000000-0005-0000-0000-0000FA0E0000}"/>
    <cellStyle name="Normal 13 2 2 2 2 2" xfId="3911" xr:uid="{00000000-0005-0000-0000-0000FB0E0000}"/>
    <cellStyle name="Normal 13 2 2 2 2 2 2" xfId="3912" xr:uid="{00000000-0005-0000-0000-0000FC0E0000}"/>
    <cellStyle name="Normal 13 2 2 2 2 2 2 2" xfId="3913" xr:uid="{00000000-0005-0000-0000-0000FD0E0000}"/>
    <cellStyle name="Normal 13 2 2 2 2 2 3" xfId="3914" xr:uid="{00000000-0005-0000-0000-0000FE0E0000}"/>
    <cellStyle name="Normal 13 2 2 2 2 2 3 2" xfId="3915" xr:uid="{00000000-0005-0000-0000-0000FF0E0000}"/>
    <cellStyle name="Normal 13 2 2 2 2 2 4" xfId="3916" xr:uid="{00000000-0005-0000-0000-0000000F0000}"/>
    <cellStyle name="Normal 13 2 2 2 2 3" xfId="3917" xr:uid="{00000000-0005-0000-0000-0000010F0000}"/>
    <cellStyle name="Normal 13 2 2 2 2 3 2" xfId="3918" xr:uid="{00000000-0005-0000-0000-0000020F0000}"/>
    <cellStyle name="Normal 13 2 2 2 2 4" xfId="3919" xr:uid="{00000000-0005-0000-0000-0000030F0000}"/>
    <cellStyle name="Normal 13 2 2 2 2 4 2" xfId="3920" xr:uid="{00000000-0005-0000-0000-0000040F0000}"/>
    <cellStyle name="Normal 13 2 2 2 2 5" xfId="3921" xr:uid="{00000000-0005-0000-0000-0000050F0000}"/>
    <cellStyle name="Normal 13 2 2 2 3" xfId="3922" xr:uid="{00000000-0005-0000-0000-0000060F0000}"/>
    <cellStyle name="Normal 13 2 2 2 3 2" xfId="3923" xr:uid="{00000000-0005-0000-0000-0000070F0000}"/>
    <cellStyle name="Normal 13 2 2 2 3 2 2" xfId="3924" xr:uid="{00000000-0005-0000-0000-0000080F0000}"/>
    <cellStyle name="Normal 13 2 2 2 3 3" xfId="3925" xr:uid="{00000000-0005-0000-0000-0000090F0000}"/>
    <cellStyle name="Normal 13 2 2 2 3 3 2" xfId="3926" xr:uid="{00000000-0005-0000-0000-00000A0F0000}"/>
    <cellStyle name="Normal 13 2 2 2 3 4" xfId="3927" xr:uid="{00000000-0005-0000-0000-00000B0F0000}"/>
    <cellStyle name="Normal 13 2 2 2 4" xfId="3928" xr:uid="{00000000-0005-0000-0000-00000C0F0000}"/>
    <cellStyle name="Normal 13 2 2 2 4 2" xfId="3929" xr:uid="{00000000-0005-0000-0000-00000D0F0000}"/>
    <cellStyle name="Normal 13 2 2 2 5" xfId="3930" xr:uid="{00000000-0005-0000-0000-00000E0F0000}"/>
    <cellStyle name="Normal 13 2 2 2 5 2" xfId="3931" xr:uid="{00000000-0005-0000-0000-00000F0F0000}"/>
    <cellStyle name="Normal 13 2 2 2 6" xfId="3932" xr:uid="{00000000-0005-0000-0000-0000100F0000}"/>
    <cellStyle name="Normal 13 2 2 3" xfId="3933" xr:uid="{00000000-0005-0000-0000-0000110F0000}"/>
    <cellStyle name="Normal 13 2 2 3 2" xfId="3934" xr:uid="{00000000-0005-0000-0000-0000120F0000}"/>
    <cellStyle name="Normal 13 2 2 3 2 2" xfId="3935" xr:uid="{00000000-0005-0000-0000-0000130F0000}"/>
    <cellStyle name="Normal 13 2 2 3 2 2 2" xfId="3936" xr:uid="{00000000-0005-0000-0000-0000140F0000}"/>
    <cellStyle name="Normal 13 2 2 3 2 3" xfId="3937" xr:uid="{00000000-0005-0000-0000-0000150F0000}"/>
    <cellStyle name="Normal 13 2 2 3 2 3 2" xfId="3938" xr:uid="{00000000-0005-0000-0000-0000160F0000}"/>
    <cellStyle name="Normal 13 2 2 3 2 4" xfId="3939" xr:uid="{00000000-0005-0000-0000-0000170F0000}"/>
    <cellStyle name="Normal 13 2 2 3 3" xfId="3940" xr:uid="{00000000-0005-0000-0000-0000180F0000}"/>
    <cellStyle name="Normal 13 2 2 3 3 2" xfId="3941" xr:uid="{00000000-0005-0000-0000-0000190F0000}"/>
    <cellStyle name="Normal 13 2 2 3 4" xfId="3942" xr:uid="{00000000-0005-0000-0000-00001A0F0000}"/>
    <cellStyle name="Normal 13 2 2 3 4 2" xfId="3943" xr:uid="{00000000-0005-0000-0000-00001B0F0000}"/>
    <cellStyle name="Normal 13 2 2 3 5" xfId="3944" xr:uid="{00000000-0005-0000-0000-00001C0F0000}"/>
    <cellStyle name="Normal 13 2 2 4" xfId="3945" xr:uid="{00000000-0005-0000-0000-00001D0F0000}"/>
    <cellStyle name="Normal 13 2 2 4 2" xfId="3946" xr:uid="{00000000-0005-0000-0000-00001E0F0000}"/>
    <cellStyle name="Normal 13 2 2 4 2 2" xfId="3947" xr:uid="{00000000-0005-0000-0000-00001F0F0000}"/>
    <cellStyle name="Normal 13 2 2 4 3" xfId="3948" xr:uid="{00000000-0005-0000-0000-0000200F0000}"/>
    <cellStyle name="Normal 13 2 2 4 3 2" xfId="3949" xr:uid="{00000000-0005-0000-0000-0000210F0000}"/>
    <cellStyle name="Normal 13 2 2 4 4" xfId="3950" xr:uid="{00000000-0005-0000-0000-0000220F0000}"/>
    <cellStyle name="Normal 13 2 2 5" xfId="3951" xr:uid="{00000000-0005-0000-0000-0000230F0000}"/>
    <cellStyle name="Normal 13 2 2 5 2" xfId="3952" xr:uid="{00000000-0005-0000-0000-0000240F0000}"/>
    <cellStyle name="Normal 13 2 2 6" xfId="3953" xr:uid="{00000000-0005-0000-0000-0000250F0000}"/>
    <cellStyle name="Normal 13 2 2 6 2" xfId="3954" xr:uid="{00000000-0005-0000-0000-0000260F0000}"/>
    <cellStyle name="Normal 13 2 2 7" xfId="3955" xr:uid="{00000000-0005-0000-0000-0000270F0000}"/>
    <cellStyle name="Normal 13 2 3" xfId="3956" xr:uid="{00000000-0005-0000-0000-0000280F0000}"/>
    <cellStyle name="Normal 13 2 3 2" xfId="3957" xr:uid="{00000000-0005-0000-0000-0000290F0000}"/>
    <cellStyle name="Normal 13 2 3 2 2" xfId="3958" xr:uid="{00000000-0005-0000-0000-00002A0F0000}"/>
    <cellStyle name="Normal 13 2 3 2 2 2" xfId="3959" xr:uid="{00000000-0005-0000-0000-00002B0F0000}"/>
    <cellStyle name="Normal 13 2 3 2 2 2 2" xfId="3960" xr:uid="{00000000-0005-0000-0000-00002C0F0000}"/>
    <cellStyle name="Normal 13 2 3 2 2 3" xfId="3961" xr:uid="{00000000-0005-0000-0000-00002D0F0000}"/>
    <cellStyle name="Normal 13 2 3 2 2 3 2" xfId="3962" xr:uid="{00000000-0005-0000-0000-00002E0F0000}"/>
    <cellStyle name="Normal 13 2 3 2 2 4" xfId="3963" xr:uid="{00000000-0005-0000-0000-00002F0F0000}"/>
    <cellStyle name="Normal 13 2 3 2 3" xfId="3964" xr:uid="{00000000-0005-0000-0000-0000300F0000}"/>
    <cellStyle name="Normal 13 2 3 2 3 2" xfId="3965" xr:uid="{00000000-0005-0000-0000-0000310F0000}"/>
    <cellStyle name="Normal 13 2 3 2 4" xfId="3966" xr:uid="{00000000-0005-0000-0000-0000320F0000}"/>
    <cellStyle name="Normal 13 2 3 2 4 2" xfId="3967" xr:uid="{00000000-0005-0000-0000-0000330F0000}"/>
    <cellStyle name="Normal 13 2 3 2 5" xfId="3968" xr:uid="{00000000-0005-0000-0000-0000340F0000}"/>
    <cellStyle name="Normal 13 2 3 3" xfId="3969" xr:uid="{00000000-0005-0000-0000-0000350F0000}"/>
    <cellStyle name="Normal 13 2 3 3 2" xfId="3970" xr:uid="{00000000-0005-0000-0000-0000360F0000}"/>
    <cellStyle name="Normal 13 2 3 3 2 2" xfId="3971" xr:uid="{00000000-0005-0000-0000-0000370F0000}"/>
    <cellStyle name="Normal 13 2 3 3 3" xfId="3972" xr:uid="{00000000-0005-0000-0000-0000380F0000}"/>
    <cellStyle name="Normal 13 2 3 3 3 2" xfId="3973" xr:uid="{00000000-0005-0000-0000-0000390F0000}"/>
    <cellStyle name="Normal 13 2 3 3 4" xfId="3974" xr:uid="{00000000-0005-0000-0000-00003A0F0000}"/>
    <cellStyle name="Normal 13 2 3 4" xfId="3975" xr:uid="{00000000-0005-0000-0000-00003B0F0000}"/>
    <cellStyle name="Normal 13 2 3 4 2" xfId="3976" xr:uid="{00000000-0005-0000-0000-00003C0F0000}"/>
    <cellStyle name="Normal 13 2 3 5" xfId="3977" xr:uid="{00000000-0005-0000-0000-00003D0F0000}"/>
    <cellStyle name="Normal 13 2 3 5 2" xfId="3978" xr:uid="{00000000-0005-0000-0000-00003E0F0000}"/>
    <cellStyle name="Normal 13 2 3 6" xfId="3979" xr:uid="{00000000-0005-0000-0000-00003F0F0000}"/>
    <cellStyle name="Normal 13 2 4" xfId="3980" xr:uid="{00000000-0005-0000-0000-0000400F0000}"/>
    <cellStyle name="Normal 13 2 4 2" xfId="3981" xr:uid="{00000000-0005-0000-0000-0000410F0000}"/>
    <cellStyle name="Normal 13 2 4 2 2" xfId="3982" xr:uid="{00000000-0005-0000-0000-0000420F0000}"/>
    <cellStyle name="Normal 13 2 4 2 2 2" xfId="3983" xr:uid="{00000000-0005-0000-0000-0000430F0000}"/>
    <cellStyle name="Normal 13 2 4 2 3" xfId="3984" xr:uid="{00000000-0005-0000-0000-0000440F0000}"/>
    <cellStyle name="Normal 13 2 4 2 3 2" xfId="3985" xr:uid="{00000000-0005-0000-0000-0000450F0000}"/>
    <cellStyle name="Normal 13 2 4 2 4" xfId="3986" xr:uid="{00000000-0005-0000-0000-0000460F0000}"/>
    <cellStyle name="Normal 13 2 4 3" xfId="3987" xr:uid="{00000000-0005-0000-0000-0000470F0000}"/>
    <cellStyle name="Normal 13 2 4 3 2" xfId="3988" xr:uid="{00000000-0005-0000-0000-0000480F0000}"/>
    <cellStyle name="Normal 13 2 4 4" xfId="3989" xr:uid="{00000000-0005-0000-0000-0000490F0000}"/>
    <cellStyle name="Normal 13 2 4 4 2" xfId="3990" xr:uid="{00000000-0005-0000-0000-00004A0F0000}"/>
    <cellStyle name="Normal 13 2 4 5" xfId="3991" xr:uid="{00000000-0005-0000-0000-00004B0F0000}"/>
    <cellStyle name="Normal 13 2 5" xfId="3992" xr:uid="{00000000-0005-0000-0000-00004C0F0000}"/>
    <cellStyle name="Normal 13 2 5 2" xfId="3993" xr:uid="{00000000-0005-0000-0000-00004D0F0000}"/>
    <cellStyle name="Normal 13 2 5 2 2" xfId="3994" xr:uid="{00000000-0005-0000-0000-00004E0F0000}"/>
    <cellStyle name="Normal 13 2 5 3" xfId="3995" xr:uid="{00000000-0005-0000-0000-00004F0F0000}"/>
    <cellStyle name="Normal 13 2 5 3 2" xfId="3996" xr:uid="{00000000-0005-0000-0000-0000500F0000}"/>
    <cellStyle name="Normal 13 2 5 4" xfId="3997" xr:uid="{00000000-0005-0000-0000-0000510F0000}"/>
    <cellStyle name="Normal 13 2 6" xfId="3998" xr:uid="{00000000-0005-0000-0000-0000520F0000}"/>
    <cellStyle name="Normal 13 2 6 2" xfId="3999" xr:uid="{00000000-0005-0000-0000-0000530F0000}"/>
    <cellStyle name="Normal 13 2 7" xfId="4000" xr:uid="{00000000-0005-0000-0000-0000540F0000}"/>
    <cellStyle name="Normal 13 2 7 2" xfId="4001" xr:uid="{00000000-0005-0000-0000-0000550F0000}"/>
    <cellStyle name="Normal 13 2 8" xfId="4002" xr:uid="{00000000-0005-0000-0000-0000560F0000}"/>
    <cellStyle name="Normal 13 2 9" xfId="3907" xr:uid="{00000000-0005-0000-0000-0000570F0000}"/>
    <cellStyle name="Normal 13 3" xfId="4003" xr:uid="{00000000-0005-0000-0000-0000580F0000}"/>
    <cellStyle name="Normal 13 3 2" xfId="4004" xr:uid="{00000000-0005-0000-0000-0000590F0000}"/>
    <cellStyle name="Normal 13 3 2 2" xfId="4005" xr:uid="{00000000-0005-0000-0000-00005A0F0000}"/>
    <cellStyle name="Normal 13 3 2 2 2" xfId="4006" xr:uid="{00000000-0005-0000-0000-00005B0F0000}"/>
    <cellStyle name="Normal 13 3 2 2 2 2" xfId="4007" xr:uid="{00000000-0005-0000-0000-00005C0F0000}"/>
    <cellStyle name="Normal 13 3 2 2 2 2 2" xfId="4008" xr:uid="{00000000-0005-0000-0000-00005D0F0000}"/>
    <cellStyle name="Normal 13 3 2 2 2 3" xfId="4009" xr:uid="{00000000-0005-0000-0000-00005E0F0000}"/>
    <cellStyle name="Normal 13 3 2 2 2 3 2" xfId="4010" xr:uid="{00000000-0005-0000-0000-00005F0F0000}"/>
    <cellStyle name="Normal 13 3 2 2 2 4" xfId="4011" xr:uid="{00000000-0005-0000-0000-0000600F0000}"/>
    <cellStyle name="Normal 13 3 2 2 3" xfId="4012" xr:uid="{00000000-0005-0000-0000-0000610F0000}"/>
    <cellStyle name="Normal 13 3 2 2 3 2" xfId="4013" xr:uid="{00000000-0005-0000-0000-0000620F0000}"/>
    <cellStyle name="Normal 13 3 2 2 4" xfId="4014" xr:uid="{00000000-0005-0000-0000-0000630F0000}"/>
    <cellStyle name="Normal 13 3 2 2 4 2" xfId="4015" xr:uid="{00000000-0005-0000-0000-0000640F0000}"/>
    <cellStyle name="Normal 13 3 2 2 5" xfId="4016" xr:uid="{00000000-0005-0000-0000-0000650F0000}"/>
    <cellStyle name="Normal 13 3 2 3" xfId="4017" xr:uid="{00000000-0005-0000-0000-0000660F0000}"/>
    <cellStyle name="Normal 13 3 2 3 2" xfId="4018" xr:uid="{00000000-0005-0000-0000-0000670F0000}"/>
    <cellStyle name="Normal 13 3 2 3 2 2" xfId="4019" xr:uid="{00000000-0005-0000-0000-0000680F0000}"/>
    <cellStyle name="Normal 13 3 2 3 3" xfId="4020" xr:uid="{00000000-0005-0000-0000-0000690F0000}"/>
    <cellStyle name="Normal 13 3 2 3 3 2" xfId="4021" xr:uid="{00000000-0005-0000-0000-00006A0F0000}"/>
    <cellStyle name="Normal 13 3 2 3 4" xfId="4022" xr:uid="{00000000-0005-0000-0000-00006B0F0000}"/>
    <cellStyle name="Normal 13 3 2 4" xfId="4023" xr:uid="{00000000-0005-0000-0000-00006C0F0000}"/>
    <cellStyle name="Normal 13 3 2 4 2" xfId="4024" xr:uid="{00000000-0005-0000-0000-00006D0F0000}"/>
    <cellStyle name="Normal 13 3 2 5" xfId="4025" xr:uid="{00000000-0005-0000-0000-00006E0F0000}"/>
    <cellStyle name="Normal 13 3 2 5 2" xfId="4026" xr:uid="{00000000-0005-0000-0000-00006F0F0000}"/>
    <cellStyle name="Normal 13 3 2 6" xfId="4027" xr:uid="{00000000-0005-0000-0000-0000700F0000}"/>
    <cellStyle name="Normal 13 3 3" xfId="4028" xr:uid="{00000000-0005-0000-0000-0000710F0000}"/>
    <cellStyle name="Normal 13 3 3 2" xfId="4029" xr:uid="{00000000-0005-0000-0000-0000720F0000}"/>
    <cellStyle name="Normal 13 3 3 2 2" xfId="4030" xr:uid="{00000000-0005-0000-0000-0000730F0000}"/>
    <cellStyle name="Normal 13 3 3 2 2 2" xfId="4031" xr:uid="{00000000-0005-0000-0000-0000740F0000}"/>
    <cellStyle name="Normal 13 3 3 2 3" xfId="4032" xr:uid="{00000000-0005-0000-0000-0000750F0000}"/>
    <cellStyle name="Normal 13 3 3 2 3 2" xfId="4033" xr:uid="{00000000-0005-0000-0000-0000760F0000}"/>
    <cellStyle name="Normal 13 3 3 2 4" xfId="4034" xr:uid="{00000000-0005-0000-0000-0000770F0000}"/>
    <cellStyle name="Normal 13 3 3 3" xfId="4035" xr:uid="{00000000-0005-0000-0000-0000780F0000}"/>
    <cellStyle name="Normal 13 3 3 3 2" xfId="4036" xr:uid="{00000000-0005-0000-0000-0000790F0000}"/>
    <cellStyle name="Normal 13 3 3 4" xfId="4037" xr:uid="{00000000-0005-0000-0000-00007A0F0000}"/>
    <cellStyle name="Normal 13 3 3 4 2" xfId="4038" xr:uid="{00000000-0005-0000-0000-00007B0F0000}"/>
    <cellStyle name="Normal 13 3 3 5" xfId="4039" xr:uid="{00000000-0005-0000-0000-00007C0F0000}"/>
    <cellStyle name="Normal 13 3 4" xfId="4040" xr:uid="{00000000-0005-0000-0000-00007D0F0000}"/>
    <cellStyle name="Normal 13 3 4 2" xfId="4041" xr:uid="{00000000-0005-0000-0000-00007E0F0000}"/>
    <cellStyle name="Normal 13 3 4 2 2" xfId="4042" xr:uid="{00000000-0005-0000-0000-00007F0F0000}"/>
    <cellStyle name="Normal 13 3 4 3" xfId="4043" xr:uid="{00000000-0005-0000-0000-0000800F0000}"/>
    <cellStyle name="Normal 13 3 4 3 2" xfId="4044" xr:uid="{00000000-0005-0000-0000-0000810F0000}"/>
    <cellStyle name="Normal 13 3 4 4" xfId="4045" xr:uid="{00000000-0005-0000-0000-0000820F0000}"/>
    <cellStyle name="Normal 13 3 5" xfId="4046" xr:uid="{00000000-0005-0000-0000-0000830F0000}"/>
    <cellStyle name="Normal 13 3 5 2" xfId="4047" xr:uid="{00000000-0005-0000-0000-0000840F0000}"/>
    <cellStyle name="Normal 13 3 6" xfId="4048" xr:uid="{00000000-0005-0000-0000-0000850F0000}"/>
    <cellStyle name="Normal 13 3 6 2" xfId="4049" xr:uid="{00000000-0005-0000-0000-0000860F0000}"/>
    <cellStyle name="Normal 13 3 7" xfId="4050" xr:uid="{00000000-0005-0000-0000-0000870F0000}"/>
    <cellStyle name="Normal 13 3 8" xfId="4051" xr:uid="{00000000-0005-0000-0000-0000880F0000}"/>
    <cellStyle name="Normal 13 4" xfId="4052" xr:uid="{00000000-0005-0000-0000-0000890F0000}"/>
    <cellStyle name="Normal 13 4 2" xfId="4053" xr:uid="{00000000-0005-0000-0000-00008A0F0000}"/>
    <cellStyle name="Normal 13 4 2 2" xfId="4054" xr:uid="{00000000-0005-0000-0000-00008B0F0000}"/>
    <cellStyle name="Normal 13 4 2 2 2" xfId="4055" xr:uid="{00000000-0005-0000-0000-00008C0F0000}"/>
    <cellStyle name="Normal 13 4 2 2 2 2" xfId="4056" xr:uid="{00000000-0005-0000-0000-00008D0F0000}"/>
    <cellStyle name="Normal 13 4 2 2 2 2 2" xfId="4057" xr:uid="{00000000-0005-0000-0000-00008E0F0000}"/>
    <cellStyle name="Normal 13 4 2 2 2 3" xfId="4058" xr:uid="{00000000-0005-0000-0000-00008F0F0000}"/>
    <cellStyle name="Normal 13 4 2 2 2 3 2" xfId="4059" xr:uid="{00000000-0005-0000-0000-0000900F0000}"/>
    <cellStyle name="Normal 13 4 2 2 2 4" xfId="4060" xr:uid="{00000000-0005-0000-0000-0000910F0000}"/>
    <cellStyle name="Normal 13 4 2 2 3" xfId="4061" xr:uid="{00000000-0005-0000-0000-0000920F0000}"/>
    <cellStyle name="Normal 13 4 2 2 3 2" xfId="4062" xr:uid="{00000000-0005-0000-0000-0000930F0000}"/>
    <cellStyle name="Normal 13 4 2 2 4" xfId="4063" xr:uid="{00000000-0005-0000-0000-0000940F0000}"/>
    <cellStyle name="Normal 13 4 2 2 4 2" xfId="4064" xr:uid="{00000000-0005-0000-0000-0000950F0000}"/>
    <cellStyle name="Normal 13 4 2 2 5" xfId="4065" xr:uid="{00000000-0005-0000-0000-0000960F0000}"/>
    <cellStyle name="Normal 13 4 2 3" xfId="4066" xr:uid="{00000000-0005-0000-0000-0000970F0000}"/>
    <cellStyle name="Normal 13 4 2 3 2" xfId="4067" xr:uid="{00000000-0005-0000-0000-0000980F0000}"/>
    <cellStyle name="Normal 13 4 2 3 2 2" xfId="4068" xr:uid="{00000000-0005-0000-0000-0000990F0000}"/>
    <cellStyle name="Normal 13 4 2 3 3" xfId="4069" xr:uid="{00000000-0005-0000-0000-00009A0F0000}"/>
    <cellStyle name="Normal 13 4 2 3 3 2" xfId="4070" xr:uid="{00000000-0005-0000-0000-00009B0F0000}"/>
    <cellStyle name="Normal 13 4 2 3 4" xfId="4071" xr:uid="{00000000-0005-0000-0000-00009C0F0000}"/>
    <cellStyle name="Normal 13 4 2 4" xfId="4072" xr:uid="{00000000-0005-0000-0000-00009D0F0000}"/>
    <cellStyle name="Normal 13 4 2 4 2" xfId="4073" xr:uid="{00000000-0005-0000-0000-00009E0F0000}"/>
    <cellStyle name="Normal 13 4 2 5" xfId="4074" xr:uid="{00000000-0005-0000-0000-00009F0F0000}"/>
    <cellStyle name="Normal 13 4 2 5 2" xfId="4075" xr:uid="{00000000-0005-0000-0000-0000A00F0000}"/>
    <cellStyle name="Normal 13 4 2 6" xfId="4076" xr:uid="{00000000-0005-0000-0000-0000A10F0000}"/>
    <cellStyle name="Normal 13 4 3" xfId="4077" xr:uid="{00000000-0005-0000-0000-0000A20F0000}"/>
    <cellStyle name="Normal 13 4 3 2" xfId="4078" xr:uid="{00000000-0005-0000-0000-0000A30F0000}"/>
    <cellStyle name="Normal 13 4 3 2 2" xfId="4079" xr:uid="{00000000-0005-0000-0000-0000A40F0000}"/>
    <cellStyle name="Normal 13 4 3 2 2 2" xfId="4080" xr:uid="{00000000-0005-0000-0000-0000A50F0000}"/>
    <cellStyle name="Normal 13 4 3 2 3" xfId="4081" xr:uid="{00000000-0005-0000-0000-0000A60F0000}"/>
    <cellStyle name="Normal 13 4 3 2 3 2" xfId="4082" xr:uid="{00000000-0005-0000-0000-0000A70F0000}"/>
    <cellStyle name="Normal 13 4 3 2 4" xfId="4083" xr:uid="{00000000-0005-0000-0000-0000A80F0000}"/>
    <cellStyle name="Normal 13 4 3 3" xfId="4084" xr:uid="{00000000-0005-0000-0000-0000A90F0000}"/>
    <cellStyle name="Normal 13 4 3 3 2" xfId="4085" xr:uid="{00000000-0005-0000-0000-0000AA0F0000}"/>
    <cellStyle name="Normal 13 4 3 4" xfId="4086" xr:uid="{00000000-0005-0000-0000-0000AB0F0000}"/>
    <cellStyle name="Normal 13 4 3 4 2" xfId="4087" xr:uid="{00000000-0005-0000-0000-0000AC0F0000}"/>
    <cellStyle name="Normal 13 4 3 5" xfId="4088" xr:uid="{00000000-0005-0000-0000-0000AD0F0000}"/>
    <cellStyle name="Normal 13 4 4" xfId="4089" xr:uid="{00000000-0005-0000-0000-0000AE0F0000}"/>
    <cellStyle name="Normal 13 4 4 2" xfId="4090" xr:uid="{00000000-0005-0000-0000-0000AF0F0000}"/>
    <cellStyle name="Normal 13 4 4 2 2" xfId="4091" xr:uid="{00000000-0005-0000-0000-0000B00F0000}"/>
    <cellStyle name="Normal 13 4 4 3" xfId="4092" xr:uid="{00000000-0005-0000-0000-0000B10F0000}"/>
    <cellStyle name="Normal 13 4 4 3 2" xfId="4093" xr:uid="{00000000-0005-0000-0000-0000B20F0000}"/>
    <cellStyle name="Normal 13 4 4 4" xfId="4094" xr:uid="{00000000-0005-0000-0000-0000B30F0000}"/>
    <cellStyle name="Normal 13 4 5" xfId="4095" xr:uid="{00000000-0005-0000-0000-0000B40F0000}"/>
    <cellStyle name="Normal 13 4 5 2" xfId="4096" xr:uid="{00000000-0005-0000-0000-0000B50F0000}"/>
    <cellStyle name="Normal 13 4 6" xfId="4097" xr:uid="{00000000-0005-0000-0000-0000B60F0000}"/>
    <cellStyle name="Normal 13 4 6 2" xfId="4098" xr:uid="{00000000-0005-0000-0000-0000B70F0000}"/>
    <cellStyle name="Normal 13 4 7" xfId="4099" xr:uid="{00000000-0005-0000-0000-0000B80F0000}"/>
    <cellStyle name="Normal 13 5" xfId="4100" xr:uid="{00000000-0005-0000-0000-0000B90F0000}"/>
    <cellStyle name="Normal 13 5 2" xfId="4101" xr:uid="{00000000-0005-0000-0000-0000BA0F0000}"/>
    <cellStyle name="Normal 13 5 2 2" xfId="4102" xr:uid="{00000000-0005-0000-0000-0000BB0F0000}"/>
    <cellStyle name="Normal 13 5 2 2 2" xfId="4103" xr:uid="{00000000-0005-0000-0000-0000BC0F0000}"/>
    <cellStyle name="Normal 13 5 2 2 2 2" xfId="4104" xr:uid="{00000000-0005-0000-0000-0000BD0F0000}"/>
    <cellStyle name="Normal 13 5 2 2 3" xfId="4105" xr:uid="{00000000-0005-0000-0000-0000BE0F0000}"/>
    <cellStyle name="Normal 13 5 2 2 3 2" xfId="4106" xr:uid="{00000000-0005-0000-0000-0000BF0F0000}"/>
    <cellStyle name="Normal 13 5 2 2 4" xfId="4107" xr:uid="{00000000-0005-0000-0000-0000C00F0000}"/>
    <cellStyle name="Normal 13 5 2 3" xfId="4108" xr:uid="{00000000-0005-0000-0000-0000C10F0000}"/>
    <cellStyle name="Normal 13 5 2 3 2" xfId="4109" xr:uid="{00000000-0005-0000-0000-0000C20F0000}"/>
    <cellStyle name="Normal 13 5 2 4" xfId="4110" xr:uid="{00000000-0005-0000-0000-0000C30F0000}"/>
    <cellStyle name="Normal 13 5 2 4 2" xfId="4111" xr:uid="{00000000-0005-0000-0000-0000C40F0000}"/>
    <cellStyle name="Normal 13 5 2 5" xfId="4112" xr:uid="{00000000-0005-0000-0000-0000C50F0000}"/>
    <cellStyle name="Normal 13 5 3" xfId="4113" xr:uid="{00000000-0005-0000-0000-0000C60F0000}"/>
    <cellStyle name="Normal 13 5 3 2" xfId="4114" xr:uid="{00000000-0005-0000-0000-0000C70F0000}"/>
    <cellStyle name="Normal 13 5 3 2 2" xfId="4115" xr:uid="{00000000-0005-0000-0000-0000C80F0000}"/>
    <cellStyle name="Normal 13 5 3 3" xfId="4116" xr:uid="{00000000-0005-0000-0000-0000C90F0000}"/>
    <cellStyle name="Normal 13 5 3 3 2" xfId="4117" xr:uid="{00000000-0005-0000-0000-0000CA0F0000}"/>
    <cellStyle name="Normal 13 5 3 4" xfId="4118" xr:uid="{00000000-0005-0000-0000-0000CB0F0000}"/>
    <cellStyle name="Normal 13 5 4" xfId="4119" xr:uid="{00000000-0005-0000-0000-0000CC0F0000}"/>
    <cellStyle name="Normal 13 5 4 2" xfId="4120" xr:uid="{00000000-0005-0000-0000-0000CD0F0000}"/>
    <cellStyle name="Normal 13 5 5" xfId="4121" xr:uid="{00000000-0005-0000-0000-0000CE0F0000}"/>
    <cellStyle name="Normal 13 5 5 2" xfId="4122" xr:uid="{00000000-0005-0000-0000-0000CF0F0000}"/>
    <cellStyle name="Normal 13 5 6" xfId="4123" xr:uid="{00000000-0005-0000-0000-0000D00F0000}"/>
    <cellStyle name="Normal 13 6" xfId="4124" xr:uid="{00000000-0005-0000-0000-0000D10F0000}"/>
    <cellStyle name="Normal 13 6 2" xfId="4125" xr:uid="{00000000-0005-0000-0000-0000D20F0000}"/>
    <cellStyle name="Normal 13 6 2 2" xfId="4126" xr:uid="{00000000-0005-0000-0000-0000D30F0000}"/>
    <cellStyle name="Normal 13 6 2 2 2" xfId="4127" xr:uid="{00000000-0005-0000-0000-0000D40F0000}"/>
    <cellStyle name="Normal 13 6 2 3" xfId="4128" xr:uid="{00000000-0005-0000-0000-0000D50F0000}"/>
    <cellStyle name="Normal 13 6 2 3 2" xfId="4129" xr:uid="{00000000-0005-0000-0000-0000D60F0000}"/>
    <cellStyle name="Normal 13 6 2 4" xfId="4130" xr:uid="{00000000-0005-0000-0000-0000D70F0000}"/>
    <cellStyle name="Normal 13 6 3" xfId="4131" xr:uid="{00000000-0005-0000-0000-0000D80F0000}"/>
    <cellStyle name="Normal 13 6 3 2" xfId="4132" xr:uid="{00000000-0005-0000-0000-0000D90F0000}"/>
    <cellStyle name="Normal 13 6 4" xfId="4133" xr:uid="{00000000-0005-0000-0000-0000DA0F0000}"/>
    <cellStyle name="Normal 13 6 4 2" xfId="4134" xr:uid="{00000000-0005-0000-0000-0000DB0F0000}"/>
    <cellStyle name="Normal 13 6 5" xfId="4135" xr:uid="{00000000-0005-0000-0000-0000DC0F0000}"/>
    <cellStyle name="Normal 13 7" xfId="4136" xr:uid="{00000000-0005-0000-0000-0000DD0F0000}"/>
    <cellStyle name="Normal 13 7 2" xfId="4137" xr:uid="{00000000-0005-0000-0000-0000DE0F0000}"/>
    <cellStyle name="Normal 13 7 2 2" xfId="4138" xr:uid="{00000000-0005-0000-0000-0000DF0F0000}"/>
    <cellStyle name="Normal 13 7 3" xfId="4139" xr:uid="{00000000-0005-0000-0000-0000E00F0000}"/>
    <cellStyle name="Normal 13 7 3 2" xfId="4140" xr:uid="{00000000-0005-0000-0000-0000E10F0000}"/>
    <cellStyle name="Normal 13 7 4" xfId="4141" xr:uid="{00000000-0005-0000-0000-0000E20F0000}"/>
    <cellStyle name="Normal 13 8" xfId="4142" xr:uid="{00000000-0005-0000-0000-0000E30F0000}"/>
    <cellStyle name="Normal 13 8 2" xfId="4143" xr:uid="{00000000-0005-0000-0000-0000E40F0000}"/>
    <cellStyle name="Normal 13 9" xfId="4144" xr:uid="{00000000-0005-0000-0000-0000E50F0000}"/>
    <cellStyle name="Normal 13 9 2" xfId="4145" xr:uid="{00000000-0005-0000-0000-0000E60F0000}"/>
    <cellStyle name="Normal 13_Recycling Tons" xfId="4146" xr:uid="{00000000-0005-0000-0000-0000E70F0000}"/>
    <cellStyle name="Normal 130" xfId="279" xr:uid="{00000000-0005-0000-0000-0000E80F0000}"/>
    <cellStyle name="Normal 131" xfId="362" xr:uid="{00000000-0005-0000-0000-0000E90F0000}"/>
    <cellStyle name="Normal 132" xfId="9024" xr:uid="{921160B5-D7E4-43DD-A130-5AEE7A1DE3C4}"/>
    <cellStyle name="Normal 14" xfId="82" xr:uid="{00000000-0005-0000-0000-0000EA0F0000}"/>
    <cellStyle name="Normal 14 10" xfId="4147" xr:uid="{00000000-0005-0000-0000-0000EB0F0000}"/>
    <cellStyle name="Normal 14 2" xfId="219" xr:uid="{00000000-0005-0000-0000-0000EC0F0000}"/>
    <cellStyle name="Normal 14 2 2" xfId="4149" xr:uid="{00000000-0005-0000-0000-0000ED0F0000}"/>
    <cellStyle name="Normal 14 2 2 2" xfId="4150" xr:uid="{00000000-0005-0000-0000-0000EE0F0000}"/>
    <cellStyle name="Normal 14 2 2 2 2" xfId="4151" xr:uid="{00000000-0005-0000-0000-0000EF0F0000}"/>
    <cellStyle name="Normal 14 2 2 2 2 2" xfId="4152" xr:uid="{00000000-0005-0000-0000-0000F00F0000}"/>
    <cellStyle name="Normal 14 2 2 2 2 2 2" xfId="4153" xr:uid="{00000000-0005-0000-0000-0000F10F0000}"/>
    <cellStyle name="Normal 14 2 2 2 2 3" xfId="4154" xr:uid="{00000000-0005-0000-0000-0000F20F0000}"/>
    <cellStyle name="Normal 14 2 2 2 2 3 2" xfId="4155" xr:uid="{00000000-0005-0000-0000-0000F30F0000}"/>
    <cellStyle name="Normal 14 2 2 2 2 4" xfId="4156" xr:uid="{00000000-0005-0000-0000-0000F40F0000}"/>
    <cellStyle name="Normal 14 2 2 2 3" xfId="4157" xr:uid="{00000000-0005-0000-0000-0000F50F0000}"/>
    <cellStyle name="Normal 14 2 2 2 3 2" xfId="4158" xr:uid="{00000000-0005-0000-0000-0000F60F0000}"/>
    <cellStyle name="Normal 14 2 2 2 4" xfId="4159" xr:uid="{00000000-0005-0000-0000-0000F70F0000}"/>
    <cellStyle name="Normal 14 2 2 2 4 2" xfId="4160" xr:uid="{00000000-0005-0000-0000-0000F80F0000}"/>
    <cellStyle name="Normal 14 2 2 2 5" xfId="4161" xr:uid="{00000000-0005-0000-0000-0000F90F0000}"/>
    <cellStyle name="Normal 14 2 2 3" xfId="4162" xr:uid="{00000000-0005-0000-0000-0000FA0F0000}"/>
    <cellStyle name="Normal 14 2 2 3 2" xfId="4163" xr:uid="{00000000-0005-0000-0000-0000FB0F0000}"/>
    <cellStyle name="Normal 14 2 2 3 2 2" xfId="4164" xr:uid="{00000000-0005-0000-0000-0000FC0F0000}"/>
    <cellStyle name="Normal 14 2 2 3 3" xfId="4165" xr:uid="{00000000-0005-0000-0000-0000FD0F0000}"/>
    <cellStyle name="Normal 14 2 2 3 3 2" xfId="4166" xr:uid="{00000000-0005-0000-0000-0000FE0F0000}"/>
    <cellStyle name="Normal 14 2 2 3 4" xfId="4167" xr:uid="{00000000-0005-0000-0000-0000FF0F0000}"/>
    <cellStyle name="Normal 14 2 2 4" xfId="4168" xr:uid="{00000000-0005-0000-0000-000000100000}"/>
    <cellStyle name="Normal 14 2 2 4 2" xfId="4169" xr:uid="{00000000-0005-0000-0000-000001100000}"/>
    <cellStyle name="Normal 14 2 2 5" xfId="4170" xr:uid="{00000000-0005-0000-0000-000002100000}"/>
    <cellStyle name="Normal 14 2 2 5 2" xfId="4171" xr:uid="{00000000-0005-0000-0000-000003100000}"/>
    <cellStyle name="Normal 14 2 2 6" xfId="4172" xr:uid="{00000000-0005-0000-0000-000004100000}"/>
    <cellStyle name="Normal 14 2 3" xfId="4173" xr:uid="{00000000-0005-0000-0000-000005100000}"/>
    <cellStyle name="Normal 14 2 3 2" xfId="4174" xr:uid="{00000000-0005-0000-0000-000006100000}"/>
    <cellStyle name="Normal 14 2 3 2 2" xfId="4175" xr:uid="{00000000-0005-0000-0000-000007100000}"/>
    <cellStyle name="Normal 14 2 3 2 2 2" xfId="4176" xr:uid="{00000000-0005-0000-0000-000008100000}"/>
    <cellStyle name="Normal 14 2 3 2 3" xfId="4177" xr:uid="{00000000-0005-0000-0000-000009100000}"/>
    <cellStyle name="Normal 14 2 3 2 3 2" xfId="4178" xr:uid="{00000000-0005-0000-0000-00000A100000}"/>
    <cellStyle name="Normal 14 2 3 2 4" xfId="4179" xr:uid="{00000000-0005-0000-0000-00000B100000}"/>
    <cellStyle name="Normal 14 2 3 3" xfId="4180" xr:uid="{00000000-0005-0000-0000-00000C100000}"/>
    <cellStyle name="Normal 14 2 3 3 2" xfId="4181" xr:uid="{00000000-0005-0000-0000-00000D100000}"/>
    <cellStyle name="Normal 14 2 3 4" xfId="4182" xr:uid="{00000000-0005-0000-0000-00000E100000}"/>
    <cellStyle name="Normal 14 2 3 4 2" xfId="4183" xr:uid="{00000000-0005-0000-0000-00000F100000}"/>
    <cellStyle name="Normal 14 2 3 5" xfId="4184" xr:uid="{00000000-0005-0000-0000-000010100000}"/>
    <cellStyle name="Normal 14 2 4" xfId="4185" xr:uid="{00000000-0005-0000-0000-000011100000}"/>
    <cellStyle name="Normal 14 2 4 2" xfId="4186" xr:uid="{00000000-0005-0000-0000-000012100000}"/>
    <cellStyle name="Normal 14 2 4 2 2" xfId="4187" xr:uid="{00000000-0005-0000-0000-000013100000}"/>
    <cellStyle name="Normal 14 2 4 3" xfId="4188" xr:uid="{00000000-0005-0000-0000-000014100000}"/>
    <cellStyle name="Normal 14 2 4 3 2" xfId="4189" xr:uid="{00000000-0005-0000-0000-000015100000}"/>
    <cellStyle name="Normal 14 2 4 4" xfId="4190" xr:uid="{00000000-0005-0000-0000-000016100000}"/>
    <cellStyle name="Normal 14 2 5" xfId="4191" xr:uid="{00000000-0005-0000-0000-000017100000}"/>
    <cellStyle name="Normal 14 2 5 2" xfId="4192" xr:uid="{00000000-0005-0000-0000-000018100000}"/>
    <cellStyle name="Normal 14 2 6" xfId="4193" xr:uid="{00000000-0005-0000-0000-000019100000}"/>
    <cellStyle name="Normal 14 2 6 2" xfId="4194" xr:uid="{00000000-0005-0000-0000-00001A100000}"/>
    <cellStyle name="Normal 14 2 7" xfId="4195" xr:uid="{00000000-0005-0000-0000-00001B100000}"/>
    <cellStyle name="Normal 14 2 8" xfId="4148" xr:uid="{00000000-0005-0000-0000-00001C100000}"/>
    <cellStyle name="Normal 14 3" xfId="4196" xr:uid="{00000000-0005-0000-0000-00001D100000}"/>
    <cellStyle name="Normal 14 3 2" xfId="4197" xr:uid="{00000000-0005-0000-0000-00001E100000}"/>
    <cellStyle name="Normal 14 3 2 2" xfId="4198" xr:uid="{00000000-0005-0000-0000-00001F100000}"/>
    <cellStyle name="Normal 14 3 2 2 2" xfId="4199" xr:uid="{00000000-0005-0000-0000-000020100000}"/>
    <cellStyle name="Normal 14 3 2 2 2 2" xfId="4200" xr:uid="{00000000-0005-0000-0000-000021100000}"/>
    <cellStyle name="Normal 14 3 2 2 2 2 2" xfId="4201" xr:uid="{00000000-0005-0000-0000-000022100000}"/>
    <cellStyle name="Normal 14 3 2 2 2 3" xfId="4202" xr:uid="{00000000-0005-0000-0000-000023100000}"/>
    <cellStyle name="Normal 14 3 2 2 2 3 2" xfId="4203" xr:uid="{00000000-0005-0000-0000-000024100000}"/>
    <cellStyle name="Normal 14 3 2 2 2 4" xfId="4204" xr:uid="{00000000-0005-0000-0000-000025100000}"/>
    <cellStyle name="Normal 14 3 2 2 3" xfId="4205" xr:uid="{00000000-0005-0000-0000-000026100000}"/>
    <cellStyle name="Normal 14 3 2 2 3 2" xfId="4206" xr:uid="{00000000-0005-0000-0000-000027100000}"/>
    <cellStyle name="Normal 14 3 2 2 4" xfId="4207" xr:uid="{00000000-0005-0000-0000-000028100000}"/>
    <cellStyle name="Normal 14 3 2 2 4 2" xfId="4208" xr:uid="{00000000-0005-0000-0000-000029100000}"/>
    <cellStyle name="Normal 14 3 2 2 5" xfId="4209" xr:uid="{00000000-0005-0000-0000-00002A100000}"/>
    <cellStyle name="Normal 14 3 2 3" xfId="4210" xr:uid="{00000000-0005-0000-0000-00002B100000}"/>
    <cellStyle name="Normal 14 3 2 3 2" xfId="4211" xr:uid="{00000000-0005-0000-0000-00002C100000}"/>
    <cellStyle name="Normal 14 3 2 3 2 2" xfId="4212" xr:uid="{00000000-0005-0000-0000-00002D100000}"/>
    <cellStyle name="Normal 14 3 2 3 3" xfId="4213" xr:uid="{00000000-0005-0000-0000-00002E100000}"/>
    <cellStyle name="Normal 14 3 2 3 3 2" xfId="4214" xr:uid="{00000000-0005-0000-0000-00002F100000}"/>
    <cellStyle name="Normal 14 3 2 3 4" xfId="4215" xr:uid="{00000000-0005-0000-0000-000030100000}"/>
    <cellStyle name="Normal 14 3 2 4" xfId="4216" xr:uid="{00000000-0005-0000-0000-000031100000}"/>
    <cellStyle name="Normal 14 3 2 4 2" xfId="4217" xr:uid="{00000000-0005-0000-0000-000032100000}"/>
    <cellStyle name="Normal 14 3 2 5" xfId="4218" xr:uid="{00000000-0005-0000-0000-000033100000}"/>
    <cellStyle name="Normal 14 3 2 5 2" xfId="4219" xr:uid="{00000000-0005-0000-0000-000034100000}"/>
    <cellStyle name="Normal 14 3 2 6" xfId="4220" xr:uid="{00000000-0005-0000-0000-000035100000}"/>
    <cellStyle name="Normal 14 3 3" xfId="4221" xr:uid="{00000000-0005-0000-0000-000036100000}"/>
    <cellStyle name="Normal 14 3 3 2" xfId="4222" xr:uid="{00000000-0005-0000-0000-000037100000}"/>
    <cellStyle name="Normal 14 3 3 2 2" xfId="4223" xr:uid="{00000000-0005-0000-0000-000038100000}"/>
    <cellStyle name="Normal 14 3 3 2 2 2" xfId="4224" xr:uid="{00000000-0005-0000-0000-000039100000}"/>
    <cellStyle name="Normal 14 3 3 2 3" xfId="4225" xr:uid="{00000000-0005-0000-0000-00003A100000}"/>
    <cellStyle name="Normal 14 3 3 2 3 2" xfId="4226" xr:uid="{00000000-0005-0000-0000-00003B100000}"/>
    <cellStyle name="Normal 14 3 3 2 4" xfId="4227" xr:uid="{00000000-0005-0000-0000-00003C100000}"/>
    <cellStyle name="Normal 14 3 3 3" xfId="4228" xr:uid="{00000000-0005-0000-0000-00003D100000}"/>
    <cellStyle name="Normal 14 3 3 3 2" xfId="4229" xr:uid="{00000000-0005-0000-0000-00003E100000}"/>
    <cellStyle name="Normal 14 3 3 4" xfId="4230" xr:uid="{00000000-0005-0000-0000-00003F100000}"/>
    <cellStyle name="Normal 14 3 3 4 2" xfId="4231" xr:uid="{00000000-0005-0000-0000-000040100000}"/>
    <cellStyle name="Normal 14 3 3 5" xfId="4232" xr:uid="{00000000-0005-0000-0000-000041100000}"/>
    <cellStyle name="Normal 14 3 4" xfId="4233" xr:uid="{00000000-0005-0000-0000-000042100000}"/>
    <cellStyle name="Normal 14 3 4 2" xfId="4234" xr:uid="{00000000-0005-0000-0000-000043100000}"/>
    <cellStyle name="Normal 14 3 4 2 2" xfId="4235" xr:uid="{00000000-0005-0000-0000-000044100000}"/>
    <cellStyle name="Normal 14 3 4 3" xfId="4236" xr:uid="{00000000-0005-0000-0000-000045100000}"/>
    <cellStyle name="Normal 14 3 4 3 2" xfId="4237" xr:uid="{00000000-0005-0000-0000-000046100000}"/>
    <cellStyle name="Normal 14 3 4 4" xfId="4238" xr:uid="{00000000-0005-0000-0000-000047100000}"/>
    <cellStyle name="Normal 14 3 5" xfId="4239" xr:uid="{00000000-0005-0000-0000-000048100000}"/>
    <cellStyle name="Normal 14 3 5 2" xfId="4240" xr:uid="{00000000-0005-0000-0000-000049100000}"/>
    <cellStyle name="Normal 14 3 6" xfId="4241" xr:uid="{00000000-0005-0000-0000-00004A100000}"/>
    <cellStyle name="Normal 14 3 6 2" xfId="4242" xr:uid="{00000000-0005-0000-0000-00004B100000}"/>
    <cellStyle name="Normal 14 3 7" xfId="4243" xr:uid="{00000000-0005-0000-0000-00004C100000}"/>
    <cellStyle name="Normal 14 3 8" xfId="4244" xr:uid="{00000000-0005-0000-0000-00004D100000}"/>
    <cellStyle name="Normal 14 4" xfId="4245" xr:uid="{00000000-0005-0000-0000-00004E100000}"/>
    <cellStyle name="Normal 14 4 2" xfId="4246" xr:uid="{00000000-0005-0000-0000-00004F100000}"/>
    <cellStyle name="Normal 14 4 2 2" xfId="4247" xr:uid="{00000000-0005-0000-0000-000050100000}"/>
    <cellStyle name="Normal 14 4 2 2 2" xfId="4248" xr:uid="{00000000-0005-0000-0000-000051100000}"/>
    <cellStyle name="Normal 14 4 2 2 2 2" xfId="4249" xr:uid="{00000000-0005-0000-0000-000052100000}"/>
    <cellStyle name="Normal 14 4 2 2 3" xfId="4250" xr:uid="{00000000-0005-0000-0000-000053100000}"/>
    <cellStyle name="Normal 14 4 2 2 3 2" xfId="4251" xr:uid="{00000000-0005-0000-0000-000054100000}"/>
    <cellStyle name="Normal 14 4 2 2 4" xfId="4252" xr:uid="{00000000-0005-0000-0000-000055100000}"/>
    <cellStyle name="Normal 14 4 2 3" xfId="4253" xr:uid="{00000000-0005-0000-0000-000056100000}"/>
    <cellStyle name="Normal 14 4 2 3 2" xfId="4254" xr:uid="{00000000-0005-0000-0000-000057100000}"/>
    <cellStyle name="Normal 14 4 2 4" xfId="4255" xr:uid="{00000000-0005-0000-0000-000058100000}"/>
    <cellStyle name="Normal 14 4 2 4 2" xfId="4256" xr:uid="{00000000-0005-0000-0000-000059100000}"/>
    <cellStyle name="Normal 14 4 2 5" xfId="4257" xr:uid="{00000000-0005-0000-0000-00005A100000}"/>
    <cellStyle name="Normal 14 4 3" xfId="4258" xr:uid="{00000000-0005-0000-0000-00005B100000}"/>
    <cellStyle name="Normal 14 4 3 2" xfId="4259" xr:uid="{00000000-0005-0000-0000-00005C100000}"/>
    <cellStyle name="Normal 14 4 3 2 2" xfId="4260" xr:uid="{00000000-0005-0000-0000-00005D100000}"/>
    <cellStyle name="Normal 14 4 3 3" xfId="4261" xr:uid="{00000000-0005-0000-0000-00005E100000}"/>
    <cellStyle name="Normal 14 4 3 3 2" xfId="4262" xr:uid="{00000000-0005-0000-0000-00005F100000}"/>
    <cellStyle name="Normal 14 4 3 4" xfId="4263" xr:uid="{00000000-0005-0000-0000-000060100000}"/>
    <cellStyle name="Normal 14 4 4" xfId="4264" xr:uid="{00000000-0005-0000-0000-000061100000}"/>
    <cellStyle name="Normal 14 4 4 2" xfId="4265" xr:uid="{00000000-0005-0000-0000-000062100000}"/>
    <cellStyle name="Normal 14 4 5" xfId="4266" xr:uid="{00000000-0005-0000-0000-000063100000}"/>
    <cellStyle name="Normal 14 4 5 2" xfId="4267" xr:uid="{00000000-0005-0000-0000-000064100000}"/>
    <cellStyle name="Normal 14 4 6" xfId="4268" xr:uid="{00000000-0005-0000-0000-000065100000}"/>
    <cellStyle name="Normal 14 5" xfId="4269" xr:uid="{00000000-0005-0000-0000-000066100000}"/>
    <cellStyle name="Normal 14 5 2" xfId="4270" xr:uid="{00000000-0005-0000-0000-000067100000}"/>
    <cellStyle name="Normal 14 5 2 2" xfId="4271" xr:uid="{00000000-0005-0000-0000-000068100000}"/>
    <cellStyle name="Normal 14 5 2 2 2" xfId="4272" xr:uid="{00000000-0005-0000-0000-000069100000}"/>
    <cellStyle name="Normal 14 5 2 3" xfId="4273" xr:uid="{00000000-0005-0000-0000-00006A100000}"/>
    <cellStyle name="Normal 14 5 2 3 2" xfId="4274" xr:uid="{00000000-0005-0000-0000-00006B100000}"/>
    <cellStyle name="Normal 14 5 2 4" xfId="4275" xr:uid="{00000000-0005-0000-0000-00006C100000}"/>
    <cellStyle name="Normal 14 5 3" xfId="4276" xr:uid="{00000000-0005-0000-0000-00006D100000}"/>
    <cellStyle name="Normal 14 5 3 2" xfId="4277" xr:uid="{00000000-0005-0000-0000-00006E100000}"/>
    <cellStyle name="Normal 14 5 4" xfId="4278" xr:uid="{00000000-0005-0000-0000-00006F100000}"/>
    <cellStyle name="Normal 14 5 4 2" xfId="4279" xr:uid="{00000000-0005-0000-0000-000070100000}"/>
    <cellStyle name="Normal 14 5 5" xfId="4280" xr:uid="{00000000-0005-0000-0000-000071100000}"/>
    <cellStyle name="Normal 14 6" xfId="4281" xr:uid="{00000000-0005-0000-0000-000072100000}"/>
    <cellStyle name="Normal 14 6 2" xfId="4282" xr:uid="{00000000-0005-0000-0000-000073100000}"/>
    <cellStyle name="Normal 14 6 2 2" xfId="4283" xr:uid="{00000000-0005-0000-0000-000074100000}"/>
    <cellStyle name="Normal 14 6 3" xfId="4284" xr:uid="{00000000-0005-0000-0000-000075100000}"/>
    <cellStyle name="Normal 14 6 3 2" xfId="4285" xr:uid="{00000000-0005-0000-0000-000076100000}"/>
    <cellStyle name="Normal 14 6 4" xfId="4286" xr:uid="{00000000-0005-0000-0000-000077100000}"/>
    <cellStyle name="Normal 14 7" xfId="4287" xr:uid="{00000000-0005-0000-0000-000078100000}"/>
    <cellStyle name="Normal 14 7 2" xfId="4288" xr:uid="{00000000-0005-0000-0000-000079100000}"/>
    <cellStyle name="Normal 14 8" xfId="4289" xr:uid="{00000000-0005-0000-0000-00007A100000}"/>
    <cellStyle name="Normal 14 8 2" xfId="4290" xr:uid="{00000000-0005-0000-0000-00007B100000}"/>
    <cellStyle name="Normal 14 9" xfId="4291" xr:uid="{00000000-0005-0000-0000-00007C100000}"/>
    <cellStyle name="Normal 14_Recycling Tons" xfId="4292" xr:uid="{00000000-0005-0000-0000-00007D100000}"/>
    <cellStyle name="Normal 15" xfId="83" xr:uid="{00000000-0005-0000-0000-00007E100000}"/>
    <cellStyle name="Normal 15 2" xfId="220" xr:uid="{00000000-0005-0000-0000-00007F100000}"/>
    <cellStyle name="Normal 15 2 2" xfId="4293" xr:uid="{00000000-0005-0000-0000-000080100000}"/>
    <cellStyle name="Normal 15 2 2 2" xfId="4294" xr:uid="{00000000-0005-0000-0000-000081100000}"/>
    <cellStyle name="Normal 15 2 3" xfId="4295" xr:uid="{00000000-0005-0000-0000-000082100000}"/>
    <cellStyle name="Normal 15 3" xfId="4296" xr:uid="{00000000-0005-0000-0000-000083100000}"/>
    <cellStyle name="Normal 15 3 2" xfId="4297" xr:uid="{00000000-0005-0000-0000-000084100000}"/>
    <cellStyle name="Normal 15 3 3" xfId="4298" xr:uid="{00000000-0005-0000-0000-000085100000}"/>
    <cellStyle name="Normal 15 4" xfId="4299" xr:uid="{00000000-0005-0000-0000-000086100000}"/>
    <cellStyle name="Normal 15 4 2" xfId="4300" xr:uid="{00000000-0005-0000-0000-000087100000}"/>
    <cellStyle name="Normal 15 5" xfId="4301" xr:uid="{00000000-0005-0000-0000-000088100000}"/>
    <cellStyle name="Normal 15_Recycling Tons" xfId="4302" xr:uid="{00000000-0005-0000-0000-000089100000}"/>
    <cellStyle name="Normal 16" xfId="84" xr:uid="{00000000-0005-0000-0000-00008A100000}"/>
    <cellStyle name="Normal 16 2" xfId="221" xr:uid="{00000000-0005-0000-0000-00008B100000}"/>
    <cellStyle name="Normal 16 2 2" xfId="4303" xr:uid="{00000000-0005-0000-0000-00008C100000}"/>
    <cellStyle name="Normal 16 2 2 2" xfId="4304" xr:uid="{00000000-0005-0000-0000-00008D100000}"/>
    <cellStyle name="Normal 16 2 3" xfId="4305" xr:uid="{00000000-0005-0000-0000-00008E100000}"/>
    <cellStyle name="Normal 16 3" xfId="4306" xr:uid="{00000000-0005-0000-0000-00008F100000}"/>
    <cellStyle name="Normal 16 3 2" xfId="4307" xr:uid="{00000000-0005-0000-0000-000090100000}"/>
    <cellStyle name="Normal 16 3 2 2" xfId="4308" xr:uid="{00000000-0005-0000-0000-000091100000}"/>
    <cellStyle name="Normal 16 3 2 2 2" xfId="4309" xr:uid="{00000000-0005-0000-0000-000092100000}"/>
    <cellStyle name="Normal 16 3 2 2 2 2" xfId="4310" xr:uid="{00000000-0005-0000-0000-000093100000}"/>
    <cellStyle name="Normal 16 3 2 2 2 2 2" xfId="4311" xr:uid="{00000000-0005-0000-0000-000094100000}"/>
    <cellStyle name="Normal 16 3 2 2 2 3" xfId="4312" xr:uid="{00000000-0005-0000-0000-000095100000}"/>
    <cellStyle name="Normal 16 3 2 2 2 3 2" xfId="4313" xr:uid="{00000000-0005-0000-0000-000096100000}"/>
    <cellStyle name="Normal 16 3 2 2 2 4" xfId="4314" xr:uid="{00000000-0005-0000-0000-000097100000}"/>
    <cellStyle name="Normal 16 3 2 2 3" xfId="4315" xr:uid="{00000000-0005-0000-0000-000098100000}"/>
    <cellStyle name="Normal 16 3 2 2 3 2" xfId="4316" xr:uid="{00000000-0005-0000-0000-000099100000}"/>
    <cellStyle name="Normal 16 3 2 2 4" xfId="4317" xr:uid="{00000000-0005-0000-0000-00009A100000}"/>
    <cellStyle name="Normal 16 3 2 2 4 2" xfId="4318" xr:uid="{00000000-0005-0000-0000-00009B100000}"/>
    <cellStyle name="Normal 16 3 2 2 5" xfId="4319" xr:uid="{00000000-0005-0000-0000-00009C100000}"/>
    <cellStyle name="Normal 16 3 2 3" xfId="4320" xr:uid="{00000000-0005-0000-0000-00009D100000}"/>
    <cellStyle name="Normal 16 3 2 3 2" xfId="4321" xr:uid="{00000000-0005-0000-0000-00009E100000}"/>
    <cellStyle name="Normal 16 3 2 3 2 2" xfId="4322" xr:uid="{00000000-0005-0000-0000-00009F100000}"/>
    <cellStyle name="Normal 16 3 2 3 3" xfId="4323" xr:uid="{00000000-0005-0000-0000-0000A0100000}"/>
    <cellStyle name="Normal 16 3 2 3 3 2" xfId="4324" xr:uid="{00000000-0005-0000-0000-0000A1100000}"/>
    <cellStyle name="Normal 16 3 2 3 4" xfId="4325" xr:uid="{00000000-0005-0000-0000-0000A2100000}"/>
    <cellStyle name="Normal 16 3 2 4" xfId="4326" xr:uid="{00000000-0005-0000-0000-0000A3100000}"/>
    <cellStyle name="Normal 16 3 2 4 2" xfId="4327" xr:uid="{00000000-0005-0000-0000-0000A4100000}"/>
    <cellStyle name="Normal 16 3 2 5" xfId="4328" xr:uid="{00000000-0005-0000-0000-0000A5100000}"/>
    <cellStyle name="Normal 16 3 2 5 2" xfId="4329" xr:uid="{00000000-0005-0000-0000-0000A6100000}"/>
    <cellStyle name="Normal 16 3 2 6" xfId="4330" xr:uid="{00000000-0005-0000-0000-0000A7100000}"/>
    <cellStyle name="Normal 16 3 3" xfId="4331" xr:uid="{00000000-0005-0000-0000-0000A8100000}"/>
    <cellStyle name="Normal 16 3 3 2" xfId="4332" xr:uid="{00000000-0005-0000-0000-0000A9100000}"/>
    <cellStyle name="Normal 16 3 3 2 2" xfId="4333" xr:uid="{00000000-0005-0000-0000-0000AA100000}"/>
    <cellStyle name="Normal 16 3 3 2 2 2" xfId="4334" xr:uid="{00000000-0005-0000-0000-0000AB100000}"/>
    <cellStyle name="Normal 16 3 3 2 3" xfId="4335" xr:uid="{00000000-0005-0000-0000-0000AC100000}"/>
    <cellStyle name="Normal 16 3 3 2 3 2" xfId="4336" xr:uid="{00000000-0005-0000-0000-0000AD100000}"/>
    <cellStyle name="Normal 16 3 3 2 4" xfId="4337" xr:uid="{00000000-0005-0000-0000-0000AE100000}"/>
    <cellStyle name="Normal 16 3 3 3" xfId="4338" xr:uid="{00000000-0005-0000-0000-0000AF100000}"/>
    <cellStyle name="Normal 16 3 3 3 2" xfId="4339" xr:uid="{00000000-0005-0000-0000-0000B0100000}"/>
    <cellStyle name="Normal 16 3 3 4" xfId="4340" xr:uid="{00000000-0005-0000-0000-0000B1100000}"/>
    <cellStyle name="Normal 16 3 3 4 2" xfId="4341" xr:uid="{00000000-0005-0000-0000-0000B2100000}"/>
    <cellStyle name="Normal 16 3 3 5" xfId="4342" xr:uid="{00000000-0005-0000-0000-0000B3100000}"/>
    <cellStyle name="Normal 16 3 4" xfId="4343" xr:uid="{00000000-0005-0000-0000-0000B4100000}"/>
    <cellStyle name="Normal 16 3 4 2" xfId="4344" xr:uid="{00000000-0005-0000-0000-0000B5100000}"/>
    <cellStyle name="Normal 16 3 4 2 2" xfId="4345" xr:uid="{00000000-0005-0000-0000-0000B6100000}"/>
    <cellStyle name="Normal 16 3 4 3" xfId="4346" xr:uid="{00000000-0005-0000-0000-0000B7100000}"/>
    <cellStyle name="Normal 16 3 4 3 2" xfId="4347" xr:uid="{00000000-0005-0000-0000-0000B8100000}"/>
    <cellStyle name="Normal 16 3 4 4" xfId="4348" xr:uid="{00000000-0005-0000-0000-0000B9100000}"/>
    <cellStyle name="Normal 16 3 5" xfId="4349" xr:uid="{00000000-0005-0000-0000-0000BA100000}"/>
    <cellStyle name="Normal 16 3 5 2" xfId="4350" xr:uid="{00000000-0005-0000-0000-0000BB100000}"/>
    <cellStyle name="Normal 16 3 6" xfId="4351" xr:uid="{00000000-0005-0000-0000-0000BC100000}"/>
    <cellStyle name="Normal 16 3 6 2" xfId="4352" xr:uid="{00000000-0005-0000-0000-0000BD100000}"/>
    <cellStyle name="Normal 16 3 7" xfId="4353" xr:uid="{00000000-0005-0000-0000-0000BE100000}"/>
    <cellStyle name="Normal 16 3 8" xfId="4354" xr:uid="{00000000-0005-0000-0000-0000BF100000}"/>
    <cellStyle name="Normal 16 4" xfId="4355" xr:uid="{00000000-0005-0000-0000-0000C0100000}"/>
    <cellStyle name="Normal 16 4 2" xfId="4356" xr:uid="{00000000-0005-0000-0000-0000C1100000}"/>
    <cellStyle name="Normal 16 4 2 2" xfId="4357" xr:uid="{00000000-0005-0000-0000-0000C2100000}"/>
    <cellStyle name="Normal 16 4 2 2 2" xfId="4358" xr:uid="{00000000-0005-0000-0000-0000C3100000}"/>
    <cellStyle name="Normal 16 4 2 2 2 2" xfId="4359" xr:uid="{00000000-0005-0000-0000-0000C4100000}"/>
    <cellStyle name="Normal 16 4 2 2 3" xfId="4360" xr:uid="{00000000-0005-0000-0000-0000C5100000}"/>
    <cellStyle name="Normal 16 4 2 2 3 2" xfId="4361" xr:uid="{00000000-0005-0000-0000-0000C6100000}"/>
    <cellStyle name="Normal 16 4 2 2 4" xfId="4362" xr:uid="{00000000-0005-0000-0000-0000C7100000}"/>
    <cellStyle name="Normal 16 4 2 3" xfId="4363" xr:uid="{00000000-0005-0000-0000-0000C8100000}"/>
    <cellStyle name="Normal 16 4 2 3 2" xfId="4364" xr:uid="{00000000-0005-0000-0000-0000C9100000}"/>
    <cellStyle name="Normal 16 4 2 4" xfId="4365" xr:uid="{00000000-0005-0000-0000-0000CA100000}"/>
    <cellStyle name="Normal 16 4 2 4 2" xfId="4366" xr:uid="{00000000-0005-0000-0000-0000CB100000}"/>
    <cellStyle name="Normal 16 4 2 5" xfId="4367" xr:uid="{00000000-0005-0000-0000-0000CC100000}"/>
    <cellStyle name="Normal 16 4 3" xfId="4368" xr:uid="{00000000-0005-0000-0000-0000CD100000}"/>
    <cellStyle name="Normal 16 4 3 2" xfId="4369" xr:uid="{00000000-0005-0000-0000-0000CE100000}"/>
    <cellStyle name="Normal 16 4 3 2 2" xfId="4370" xr:uid="{00000000-0005-0000-0000-0000CF100000}"/>
    <cellStyle name="Normal 16 4 3 3" xfId="4371" xr:uid="{00000000-0005-0000-0000-0000D0100000}"/>
    <cellStyle name="Normal 16 4 3 3 2" xfId="4372" xr:uid="{00000000-0005-0000-0000-0000D1100000}"/>
    <cellStyle name="Normal 16 4 3 4" xfId="4373" xr:uid="{00000000-0005-0000-0000-0000D2100000}"/>
    <cellStyle name="Normal 16 4 4" xfId="4374" xr:uid="{00000000-0005-0000-0000-0000D3100000}"/>
    <cellStyle name="Normal 16 4 4 2" xfId="4375" xr:uid="{00000000-0005-0000-0000-0000D4100000}"/>
    <cellStyle name="Normal 16 4 5" xfId="4376" xr:uid="{00000000-0005-0000-0000-0000D5100000}"/>
    <cellStyle name="Normal 16 4 5 2" xfId="4377" xr:uid="{00000000-0005-0000-0000-0000D6100000}"/>
    <cellStyle name="Normal 16 4 6" xfId="4378" xr:uid="{00000000-0005-0000-0000-0000D7100000}"/>
    <cellStyle name="Normal 16 5" xfId="4379" xr:uid="{00000000-0005-0000-0000-0000D8100000}"/>
    <cellStyle name="Normal 16 5 2" xfId="4380" xr:uid="{00000000-0005-0000-0000-0000D9100000}"/>
    <cellStyle name="Normal 16 5 2 2" xfId="4381" xr:uid="{00000000-0005-0000-0000-0000DA100000}"/>
    <cellStyle name="Normal 16 5 2 2 2" xfId="4382" xr:uid="{00000000-0005-0000-0000-0000DB100000}"/>
    <cellStyle name="Normal 16 5 2 3" xfId="4383" xr:uid="{00000000-0005-0000-0000-0000DC100000}"/>
    <cellStyle name="Normal 16 5 2 3 2" xfId="4384" xr:uid="{00000000-0005-0000-0000-0000DD100000}"/>
    <cellStyle name="Normal 16 5 2 4" xfId="4385" xr:uid="{00000000-0005-0000-0000-0000DE100000}"/>
    <cellStyle name="Normal 16 5 3" xfId="4386" xr:uid="{00000000-0005-0000-0000-0000DF100000}"/>
    <cellStyle name="Normal 16 5 3 2" xfId="4387" xr:uid="{00000000-0005-0000-0000-0000E0100000}"/>
    <cellStyle name="Normal 16 5 4" xfId="4388" xr:uid="{00000000-0005-0000-0000-0000E1100000}"/>
    <cellStyle name="Normal 16 5 4 2" xfId="4389" xr:uid="{00000000-0005-0000-0000-0000E2100000}"/>
    <cellStyle name="Normal 16 5 5" xfId="4390" xr:uid="{00000000-0005-0000-0000-0000E3100000}"/>
    <cellStyle name="Normal 16 6" xfId="4391" xr:uid="{00000000-0005-0000-0000-0000E4100000}"/>
    <cellStyle name="Normal 16 6 2" xfId="4392" xr:uid="{00000000-0005-0000-0000-0000E5100000}"/>
    <cellStyle name="Normal 16 6 2 2" xfId="4393" xr:uid="{00000000-0005-0000-0000-0000E6100000}"/>
    <cellStyle name="Normal 16 6 3" xfId="4394" xr:uid="{00000000-0005-0000-0000-0000E7100000}"/>
    <cellStyle name="Normal 16 6 3 2" xfId="4395" xr:uid="{00000000-0005-0000-0000-0000E8100000}"/>
    <cellStyle name="Normal 16 6 4" xfId="4396" xr:uid="{00000000-0005-0000-0000-0000E9100000}"/>
    <cellStyle name="Normal 16 7" xfId="4397" xr:uid="{00000000-0005-0000-0000-0000EA100000}"/>
    <cellStyle name="Normal 16 7 2" xfId="4398" xr:uid="{00000000-0005-0000-0000-0000EB100000}"/>
    <cellStyle name="Normal 16 8" xfId="4399" xr:uid="{00000000-0005-0000-0000-0000EC100000}"/>
    <cellStyle name="Normal 16 8 2" xfId="4400" xr:uid="{00000000-0005-0000-0000-0000ED100000}"/>
    <cellStyle name="Normal 16 9" xfId="4401" xr:uid="{00000000-0005-0000-0000-0000EE100000}"/>
    <cellStyle name="Normal 17" xfId="85" xr:uid="{00000000-0005-0000-0000-0000EF100000}"/>
    <cellStyle name="Normal 17 2" xfId="222" xr:uid="{00000000-0005-0000-0000-0000F0100000}"/>
    <cellStyle name="Normal 17 2 2" xfId="4402" xr:uid="{00000000-0005-0000-0000-0000F1100000}"/>
    <cellStyle name="Normal 17 2 2 2" xfId="4403" xr:uid="{00000000-0005-0000-0000-0000F2100000}"/>
    <cellStyle name="Normal 17 2 3" xfId="4404" xr:uid="{00000000-0005-0000-0000-0000F3100000}"/>
    <cellStyle name="Normal 17 3" xfId="4405" xr:uid="{00000000-0005-0000-0000-0000F4100000}"/>
    <cellStyle name="Normal 17 3 2" xfId="4406" xr:uid="{00000000-0005-0000-0000-0000F5100000}"/>
    <cellStyle name="Normal 17 3 3" xfId="4407" xr:uid="{00000000-0005-0000-0000-0000F6100000}"/>
    <cellStyle name="Normal 17 4" xfId="4408" xr:uid="{00000000-0005-0000-0000-0000F7100000}"/>
    <cellStyle name="Normal 18" xfId="86" xr:uid="{00000000-0005-0000-0000-0000F8100000}"/>
    <cellStyle name="Normal 18 10" xfId="4409" xr:uid="{00000000-0005-0000-0000-0000F9100000}"/>
    <cellStyle name="Normal 18 2" xfId="223" xr:uid="{00000000-0005-0000-0000-0000FA100000}"/>
    <cellStyle name="Normal 18 2 2" xfId="4410" xr:uid="{00000000-0005-0000-0000-0000FB100000}"/>
    <cellStyle name="Normal 18 2 2 2" xfId="4411" xr:uid="{00000000-0005-0000-0000-0000FC100000}"/>
    <cellStyle name="Normal 18 2 2 2 2" xfId="4412" xr:uid="{00000000-0005-0000-0000-0000FD100000}"/>
    <cellStyle name="Normal 18 2 2 2 2 2" xfId="4413" xr:uid="{00000000-0005-0000-0000-0000FE100000}"/>
    <cellStyle name="Normal 18 2 2 2 2 2 2" xfId="4414" xr:uid="{00000000-0005-0000-0000-0000FF100000}"/>
    <cellStyle name="Normal 18 2 2 2 2 3" xfId="4415" xr:uid="{00000000-0005-0000-0000-000000110000}"/>
    <cellStyle name="Normal 18 2 2 2 2 3 2" xfId="4416" xr:uid="{00000000-0005-0000-0000-000001110000}"/>
    <cellStyle name="Normal 18 2 2 2 2 4" xfId="4417" xr:uid="{00000000-0005-0000-0000-000002110000}"/>
    <cellStyle name="Normal 18 2 2 2 3" xfId="4418" xr:uid="{00000000-0005-0000-0000-000003110000}"/>
    <cellStyle name="Normal 18 2 2 2 3 2" xfId="4419" xr:uid="{00000000-0005-0000-0000-000004110000}"/>
    <cellStyle name="Normal 18 2 2 2 4" xfId="4420" xr:uid="{00000000-0005-0000-0000-000005110000}"/>
    <cellStyle name="Normal 18 2 2 2 4 2" xfId="4421" xr:uid="{00000000-0005-0000-0000-000006110000}"/>
    <cellStyle name="Normal 18 2 2 2 5" xfId="4422" xr:uid="{00000000-0005-0000-0000-000007110000}"/>
    <cellStyle name="Normal 18 2 2 3" xfId="4423" xr:uid="{00000000-0005-0000-0000-000008110000}"/>
    <cellStyle name="Normal 18 2 2 3 2" xfId="4424" xr:uid="{00000000-0005-0000-0000-000009110000}"/>
    <cellStyle name="Normal 18 2 2 3 2 2" xfId="4425" xr:uid="{00000000-0005-0000-0000-00000A110000}"/>
    <cellStyle name="Normal 18 2 2 3 3" xfId="4426" xr:uid="{00000000-0005-0000-0000-00000B110000}"/>
    <cellStyle name="Normal 18 2 2 3 3 2" xfId="4427" xr:uid="{00000000-0005-0000-0000-00000C110000}"/>
    <cellStyle name="Normal 18 2 2 3 4" xfId="4428" xr:uid="{00000000-0005-0000-0000-00000D110000}"/>
    <cellStyle name="Normal 18 2 2 4" xfId="4429" xr:uid="{00000000-0005-0000-0000-00000E110000}"/>
    <cellStyle name="Normal 18 2 2 4 2" xfId="4430" xr:uid="{00000000-0005-0000-0000-00000F110000}"/>
    <cellStyle name="Normal 18 2 2 5" xfId="4431" xr:uid="{00000000-0005-0000-0000-000010110000}"/>
    <cellStyle name="Normal 18 2 2 5 2" xfId="4432" xr:uid="{00000000-0005-0000-0000-000011110000}"/>
    <cellStyle name="Normal 18 2 2 6" xfId="4433" xr:uid="{00000000-0005-0000-0000-000012110000}"/>
    <cellStyle name="Normal 18 2 3" xfId="4434" xr:uid="{00000000-0005-0000-0000-000013110000}"/>
    <cellStyle name="Normal 18 2 3 2" xfId="4435" xr:uid="{00000000-0005-0000-0000-000014110000}"/>
    <cellStyle name="Normal 18 2 3 2 2" xfId="4436" xr:uid="{00000000-0005-0000-0000-000015110000}"/>
    <cellStyle name="Normal 18 2 3 2 2 2" xfId="4437" xr:uid="{00000000-0005-0000-0000-000016110000}"/>
    <cellStyle name="Normal 18 2 3 2 3" xfId="4438" xr:uid="{00000000-0005-0000-0000-000017110000}"/>
    <cellStyle name="Normal 18 2 3 2 3 2" xfId="4439" xr:uid="{00000000-0005-0000-0000-000018110000}"/>
    <cellStyle name="Normal 18 2 3 2 4" xfId="4440" xr:uid="{00000000-0005-0000-0000-000019110000}"/>
    <cellStyle name="Normal 18 2 3 3" xfId="4441" xr:uid="{00000000-0005-0000-0000-00001A110000}"/>
    <cellStyle name="Normal 18 2 3 3 2" xfId="4442" xr:uid="{00000000-0005-0000-0000-00001B110000}"/>
    <cellStyle name="Normal 18 2 3 4" xfId="4443" xr:uid="{00000000-0005-0000-0000-00001C110000}"/>
    <cellStyle name="Normal 18 2 3 4 2" xfId="4444" xr:uid="{00000000-0005-0000-0000-00001D110000}"/>
    <cellStyle name="Normal 18 2 3 5" xfId="4445" xr:uid="{00000000-0005-0000-0000-00001E110000}"/>
    <cellStyle name="Normal 18 2 4" xfId="4446" xr:uid="{00000000-0005-0000-0000-00001F110000}"/>
    <cellStyle name="Normal 18 2 4 2" xfId="4447" xr:uid="{00000000-0005-0000-0000-000020110000}"/>
    <cellStyle name="Normal 18 2 4 2 2" xfId="4448" xr:uid="{00000000-0005-0000-0000-000021110000}"/>
    <cellStyle name="Normal 18 2 4 3" xfId="4449" xr:uid="{00000000-0005-0000-0000-000022110000}"/>
    <cellStyle name="Normal 18 2 4 3 2" xfId="4450" xr:uid="{00000000-0005-0000-0000-000023110000}"/>
    <cellStyle name="Normal 18 2 4 4" xfId="4451" xr:uid="{00000000-0005-0000-0000-000024110000}"/>
    <cellStyle name="Normal 18 2 5" xfId="4452" xr:uid="{00000000-0005-0000-0000-000025110000}"/>
    <cellStyle name="Normal 18 2 5 2" xfId="4453" xr:uid="{00000000-0005-0000-0000-000026110000}"/>
    <cellStyle name="Normal 18 2 6" xfId="4454" xr:uid="{00000000-0005-0000-0000-000027110000}"/>
    <cellStyle name="Normal 18 2 6 2" xfId="4455" xr:uid="{00000000-0005-0000-0000-000028110000}"/>
    <cellStyle name="Normal 18 2 7" xfId="4456" xr:uid="{00000000-0005-0000-0000-000029110000}"/>
    <cellStyle name="Normal 18 3" xfId="4457" xr:uid="{00000000-0005-0000-0000-00002A110000}"/>
    <cellStyle name="Normal 18 3 2" xfId="4458" xr:uid="{00000000-0005-0000-0000-00002B110000}"/>
    <cellStyle name="Normal 18 3 2 2" xfId="4459" xr:uid="{00000000-0005-0000-0000-00002C110000}"/>
    <cellStyle name="Normal 18 3 2 2 2" xfId="4460" xr:uid="{00000000-0005-0000-0000-00002D110000}"/>
    <cellStyle name="Normal 18 3 2 2 2 2" xfId="4461" xr:uid="{00000000-0005-0000-0000-00002E110000}"/>
    <cellStyle name="Normal 18 3 2 2 2 2 2" xfId="4462" xr:uid="{00000000-0005-0000-0000-00002F110000}"/>
    <cellStyle name="Normal 18 3 2 2 2 3" xfId="4463" xr:uid="{00000000-0005-0000-0000-000030110000}"/>
    <cellStyle name="Normal 18 3 2 2 2 3 2" xfId="4464" xr:uid="{00000000-0005-0000-0000-000031110000}"/>
    <cellStyle name="Normal 18 3 2 2 2 4" xfId="4465" xr:uid="{00000000-0005-0000-0000-000032110000}"/>
    <cellStyle name="Normal 18 3 2 2 3" xfId="4466" xr:uid="{00000000-0005-0000-0000-000033110000}"/>
    <cellStyle name="Normal 18 3 2 2 3 2" xfId="4467" xr:uid="{00000000-0005-0000-0000-000034110000}"/>
    <cellStyle name="Normal 18 3 2 2 4" xfId="4468" xr:uid="{00000000-0005-0000-0000-000035110000}"/>
    <cellStyle name="Normal 18 3 2 2 4 2" xfId="4469" xr:uid="{00000000-0005-0000-0000-000036110000}"/>
    <cellStyle name="Normal 18 3 2 2 5" xfId="4470" xr:uid="{00000000-0005-0000-0000-000037110000}"/>
    <cellStyle name="Normal 18 3 2 3" xfId="4471" xr:uid="{00000000-0005-0000-0000-000038110000}"/>
    <cellStyle name="Normal 18 3 2 3 2" xfId="4472" xr:uid="{00000000-0005-0000-0000-000039110000}"/>
    <cellStyle name="Normal 18 3 2 3 2 2" xfId="4473" xr:uid="{00000000-0005-0000-0000-00003A110000}"/>
    <cellStyle name="Normal 18 3 2 3 3" xfId="4474" xr:uid="{00000000-0005-0000-0000-00003B110000}"/>
    <cellStyle name="Normal 18 3 2 3 3 2" xfId="4475" xr:uid="{00000000-0005-0000-0000-00003C110000}"/>
    <cellStyle name="Normal 18 3 2 3 4" xfId="4476" xr:uid="{00000000-0005-0000-0000-00003D110000}"/>
    <cellStyle name="Normal 18 3 2 4" xfId="4477" xr:uid="{00000000-0005-0000-0000-00003E110000}"/>
    <cellStyle name="Normal 18 3 2 4 2" xfId="4478" xr:uid="{00000000-0005-0000-0000-00003F110000}"/>
    <cellStyle name="Normal 18 3 2 5" xfId="4479" xr:uid="{00000000-0005-0000-0000-000040110000}"/>
    <cellStyle name="Normal 18 3 2 5 2" xfId="4480" xr:uid="{00000000-0005-0000-0000-000041110000}"/>
    <cellStyle name="Normal 18 3 2 6" xfId="4481" xr:uid="{00000000-0005-0000-0000-000042110000}"/>
    <cellStyle name="Normal 18 3 3" xfId="4482" xr:uid="{00000000-0005-0000-0000-000043110000}"/>
    <cellStyle name="Normal 18 3 3 2" xfId="4483" xr:uid="{00000000-0005-0000-0000-000044110000}"/>
    <cellStyle name="Normal 18 3 3 2 2" xfId="4484" xr:uid="{00000000-0005-0000-0000-000045110000}"/>
    <cellStyle name="Normal 18 3 3 2 2 2" xfId="4485" xr:uid="{00000000-0005-0000-0000-000046110000}"/>
    <cellStyle name="Normal 18 3 3 2 3" xfId="4486" xr:uid="{00000000-0005-0000-0000-000047110000}"/>
    <cellStyle name="Normal 18 3 3 2 3 2" xfId="4487" xr:uid="{00000000-0005-0000-0000-000048110000}"/>
    <cellStyle name="Normal 18 3 3 2 4" xfId="4488" xr:uid="{00000000-0005-0000-0000-000049110000}"/>
    <cellStyle name="Normal 18 3 3 3" xfId="4489" xr:uid="{00000000-0005-0000-0000-00004A110000}"/>
    <cellStyle name="Normal 18 3 3 3 2" xfId="4490" xr:uid="{00000000-0005-0000-0000-00004B110000}"/>
    <cellStyle name="Normal 18 3 3 4" xfId="4491" xr:uid="{00000000-0005-0000-0000-00004C110000}"/>
    <cellStyle name="Normal 18 3 3 4 2" xfId="4492" xr:uid="{00000000-0005-0000-0000-00004D110000}"/>
    <cellStyle name="Normal 18 3 3 5" xfId="4493" xr:uid="{00000000-0005-0000-0000-00004E110000}"/>
    <cellStyle name="Normal 18 3 4" xfId="4494" xr:uid="{00000000-0005-0000-0000-00004F110000}"/>
    <cellStyle name="Normal 18 3 4 2" xfId="4495" xr:uid="{00000000-0005-0000-0000-000050110000}"/>
    <cellStyle name="Normal 18 3 4 2 2" xfId="4496" xr:uid="{00000000-0005-0000-0000-000051110000}"/>
    <cellStyle name="Normal 18 3 4 3" xfId="4497" xr:uid="{00000000-0005-0000-0000-000052110000}"/>
    <cellStyle name="Normal 18 3 4 3 2" xfId="4498" xr:uid="{00000000-0005-0000-0000-000053110000}"/>
    <cellStyle name="Normal 18 3 4 4" xfId="4499" xr:uid="{00000000-0005-0000-0000-000054110000}"/>
    <cellStyle name="Normal 18 3 5" xfId="4500" xr:uid="{00000000-0005-0000-0000-000055110000}"/>
    <cellStyle name="Normal 18 3 5 2" xfId="4501" xr:uid="{00000000-0005-0000-0000-000056110000}"/>
    <cellStyle name="Normal 18 3 6" xfId="4502" xr:uid="{00000000-0005-0000-0000-000057110000}"/>
    <cellStyle name="Normal 18 3 6 2" xfId="4503" xr:uid="{00000000-0005-0000-0000-000058110000}"/>
    <cellStyle name="Normal 18 3 7" xfId="4504" xr:uid="{00000000-0005-0000-0000-000059110000}"/>
    <cellStyle name="Normal 18 3 8" xfId="4505" xr:uid="{00000000-0005-0000-0000-00005A110000}"/>
    <cellStyle name="Normal 18 4" xfId="4506" xr:uid="{00000000-0005-0000-0000-00005B110000}"/>
    <cellStyle name="Normal 18 4 2" xfId="4507" xr:uid="{00000000-0005-0000-0000-00005C110000}"/>
    <cellStyle name="Normal 18 5" xfId="4508" xr:uid="{00000000-0005-0000-0000-00005D110000}"/>
    <cellStyle name="Normal 18 5 2" xfId="4509" xr:uid="{00000000-0005-0000-0000-00005E110000}"/>
    <cellStyle name="Normal 18 5 2 2" xfId="4510" xr:uid="{00000000-0005-0000-0000-00005F110000}"/>
    <cellStyle name="Normal 18 5 2 2 2" xfId="4511" xr:uid="{00000000-0005-0000-0000-000060110000}"/>
    <cellStyle name="Normal 18 5 2 2 2 2" xfId="4512" xr:uid="{00000000-0005-0000-0000-000061110000}"/>
    <cellStyle name="Normal 18 5 2 2 3" xfId="4513" xr:uid="{00000000-0005-0000-0000-000062110000}"/>
    <cellStyle name="Normal 18 5 2 2 3 2" xfId="4514" xr:uid="{00000000-0005-0000-0000-000063110000}"/>
    <cellStyle name="Normal 18 5 2 2 4" xfId="4515" xr:uid="{00000000-0005-0000-0000-000064110000}"/>
    <cellStyle name="Normal 18 5 2 3" xfId="4516" xr:uid="{00000000-0005-0000-0000-000065110000}"/>
    <cellStyle name="Normal 18 5 2 3 2" xfId="4517" xr:uid="{00000000-0005-0000-0000-000066110000}"/>
    <cellStyle name="Normal 18 5 2 4" xfId="4518" xr:uid="{00000000-0005-0000-0000-000067110000}"/>
    <cellStyle name="Normal 18 5 2 4 2" xfId="4519" xr:uid="{00000000-0005-0000-0000-000068110000}"/>
    <cellStyle name="Normal 18 5 2 5" xfId="4520" xr:uid="{00000000-0005-0000-0000-000069110000}"/>
    <cellStyle name="Normal 18 5 3" xfId="4521" xr:uid="{00000000-0005-0000-0000-00006A110000}"/>
    <cellStyle name="Normal 18 5 3 2" xfId="4522" xr:uid="{00000000-0005-0000-0000-00006B110000}"/>
    <cellStyle name="Normal 18 5 3 2 2" xfId="4523" xr:uid="{00000000-0005-0000-0000-00006C110000}"/>
    <cellStyle name="Normal 18 5 3 3" xfId="4524" xr:uid="{00000000-0005-0000-0000-00006D110000}"/>
    <cellStyle name="Normal 18 5 3 3 2" xfId="4525" xr:uid="{00000000-0005-0000-0000-00006E110000}"/>
    <cellStyle name="Normal 18 5 3 4" xfId="4526" xr:uid="{00000000-0005-0000-0000-00006F110000}"/>
    <cellStyle name="Normal 18 5 4" xfId="4527" xr:uid="{00000000-0005-0000-0000-000070110000}"/>
    <cellStyle name="Normal 18 5 4 2" xfId="4528" xr:uid="{00000000-0005-0000-0000-000071110000}"/>
    <cellStyle name="Normal 18 5 5" xfId="4529" xr:uid="{00000000-0005-0000-0000-000072110000}"/>
    <cellStyle name="Normal 18 5 5 2" xfId="4530" xr:uid="{00000000-0005-0000-0000-000073110000}"/>
    <cellStyle name="Normal 18 5 6" xfId="4531" xr:uid="{00000000-0005-0000-0000-000074110000}"/>
    <cellStyle name="Normal 18 6" xfId="4532" xr:uid="{00000000-0005-0000-0000-000075110000}"/>
    <cellStyle name="Normal 18 6 2" xfId="4533" xr:uid="{00000000-0005-0000-0000-000076110000}"/>
    <cellStyle name="Normal 18 6 2 2" xfId="4534" xr:uid="{00000000-0005-0000-0000-000077110000}"/>
    <cellStyle name="Normal 18 6 2 2 2" xfId="4535" xr:uid="{00000000-0005-0000-0000-000078110000}"/>
    <cellStyle name="Normal 18 6 2 3" xfId="4536" xr:uid="{00000000-0005-0000-0000-000079110000}"/>
    <cellStyle name="Normal 18 6 2 3 2" xfId="4537" xr:uid="{00000000-0005-0000-0000-00007A110000}"/>
    <cellStyle name="Normal 18 6 2 4" xfId="4538" xr:uid="{00000000-0005-0000-0000-00007B110000}"/>
    <cellStyle name="Normal 18 6 3" xfId="4539" xr:uid="{00000000-0005-0000-0000-00007C110000}"/>
    <cellStyle name="Normal 18 6 3 2" xfId="4540" xr:uid="{00000000-0005-0000-0000-00007D110000}"/>
    <cellStyle name="Normal 18 6 4" xfId="4541" xr:uid="{00000000-0005-0000-0000-00007E110000}"/>
    <cellStyle name="Normal 18 6 4 2" xfId="4542" xr:uid="{00000000-0005-0000-0000-00007F110000}"/>
    <cellStyle name="Normal 18 6 5" xfId="4543" xr:uid="{00000000-0005-0000-0000-000080110000}"/>
    <cellStyle name="Normal 18 7" xfId="4544" xr:uid="{00000000-0005-0000-0000-000081110000}"/>
    <cellStyle name="Normal 18 7 2" xfId="4545" xr:uid="{00000000-0005-0000-0000-000082110000}"/>
    <cellStyle name="Normal 18 7 2 2" xfId="4546" xr:uid="{00000000-0005-0000-0000-000083110000}"/>
    <cellStyle name="Normal 18 7 3" xfId="4547" xr:uid="{00000000-0005-0000-0000-000084110000}"/>
    <cellStyle name="Normal 18 7 3 2" xfId="4548" xr:uid="{00000000-0005-0000-0000-000085110000}"/>
    <cellStyle name="Normal 18 7 4" xfId="4549" xr:uid="{00000000-0005-0000-0000-000086110000}"/>
    <cellStyle name="Normal 18 8" xfId="4550" xr:uid="{00000000-0005-0000-0000-000087110000}"/>
    <cellStyle name="Normal 18 8 2" xfId="4551" xr:uid="{00000000-0005-0000-0000-000088110000}"/>
    <cellStyle name="Normal 18 9" xfId="4552" xr:uid="{00000000-0005-0000-0000-000089110000}"/>
    <cellStyle name="Normal 18 9 2" xfId="4553" xr:uid="{00000000-0005-0000-0000-00008A110000}"/>
    <cellStyle name="Normal 19" xfId="87" xr:uid="{00000000-0005-0000-0000-00008B110000}"/>
    <cellStyle name="Normal 19 2" xfId="224" xr:uid="{00000000-0005-0000-0000-00008C110000}"/>
    <cellStyle name="Normal 19 2 2" xfId="4554" xr:uid="{00000000-0005-0000-0000-00008D110000}"/>
    <cellStyle name="Normal 19 2 3" xfId="4555" xr:uid="{00000000-0005-0000-0000-00008E110000}"/>
    <cellStyle name="Normal 19 3" xfId="4556" xr:uid="{00000000-0005-0000-0000-00008F110000}"/>
    <cellStyle name="Normal 19 3 2" xfId="4557" xr:uid="{00000000-0005-0000-0000-000090110000}"/>
    <cellStyle name="Normal 19 3 3" xfId="4558" xr:uid="{00000000-0005-0000-0000-000091110000}"/>
    <cellStyle name="Normal 19 4" xfId="4559" xr:uid="{00000000-0005-0000-0000-000092110000}"/>
    <cellStyle name="Normal 19 5" xfId="4560" xr:uid="{00000000-0005-0000-0000-000093110000}"/>
    <cellStyle name="Normal 19 6" xfId="4561" xr:uid="{00000000-0005-0000-0000-000094110000}"/>
    <cellStyle name="Normal 2" xfId="88" xr:uid="{00000000-0005-0000-0000-000095110000}"/>
    <cellStyle name="Normal 2 10" xfId="4563" xr:uid="{00000000-0005-0000-0000-000096110000}"/>
    <cellStyle name="Normal 2 10 2" xfId="4564" xr:uid="{00000000-0005-0000-0000-000097110000}"/>
    <cellStyle name="Normal 2 10 2 2" xfId="4565" xr:uid="{00000000-0005-0000-0000-000098110000}"/>
    <cellStyle name="Normal 2 10 3" xfId="4566" xr:uid="{00000000-0005-0000-0000-000099110000}"/>
    <cellStyle name="Normal 2 10 4" xfId="4567" xr:uid="{00000000-0005-0000-0000-00009A110000}"/>
    <cellStyle name="Normal 2 10 5" xfId="4568" xr:uid="{00000000-0005-0000-0000-00009B110000}"/>
    <cellStyle name="Normal 2 11" xfId="4569" xr:uid="{00000000-0005-0000-0000-00009C110000}"/>
    <cellStyle name="Normal 2 11 2" xfId="4570" xr:uid="{00000000-0005-0000-0000-00009D110000}"/>
    <cellStyle name="Normal 2 11 3" xfId="4571" xr:uid="{00000000-0005-0000-0000-00009E110000}"/>
    <cellStyle name="Normal 2 12" xfId="4572" xr:uid="{00000000-0005-0000-0000-00009F110000}"/>
    <cellStyle name="Normal 2 12 2" xfId="4573" xr:uid="{00000000-0005-0000-0000-0000A0110000}"/>
    <cellStyle name="Normal 2 13" xfId="4574" xr:uid="{00000000-0005-0000-0000-0000A1110000}"/>
    <cellStyle name="Normal 2 14" xfId="4575" xr:uid="{00000000-0005-0000-0000-0000A2110000}"/>
    <cellStyle name="Normal 2 15" xfId="4576" xr:uid="{00000000-0005-0000-0000-0000A3110000}"/>
    <cellStyle name="Normal 2 16" xfId="4577" xr:uid="{00000000-0005-0000-0000-0000A4110000}"/>
    <cellStyle name="Normal 2 17" xfId="4578" xr:uid="{00000000-0005-0000-0000-0000A5110000}"/>
    <cellStyle name="Normal 2 18" xfId="4562" xr:uid="{00000000-0005-0000-0000-0000A6110000}"/>
    <cellStyle name="Normal 2 2" xfId="89" xr:uid="{00000000-0005-0000-0000-0000A7110000}"/>
    <cellStyle name="Normal 2 2 10" xfId="4580" xr:uid="{00000000-0005-0000-0000-0000A8110000}"/>
    <cellStyle name="Normal 2 2 11" xfId="4581" xr:uid="{00000000-0005-0000-0000-0000A9110000}"/>
    <cellStyle name="Normal 2 2 12" xfId="4579" xr:uid="{00000000-0005-0000-0000-0000AA110000}"/>
    <cellStyle name="Normal 2 2 2" xfId="90" xr:uid="{00000000-0005-0000-0000-0000AB110000}"/>
    <cellStyle name="Normal 2 2 2 10" xfId="4582" xr:uid="{00000000-0005-0000-0000-0000AC110000}"/>
    <cellStyle name="Normal 2 2 2 2" xfId="4583" xr:uid="{00000000-0005-0000-0000-0000AD110000}"/>
    <cellStyle name="Normal 2 2 2 2 2" xfId="4584" xr:uid="{00000000-0005-0000-0000-0000AE110000}"/>
    <cellStyle name="Normal 2 2 2 2 2 2" xfId="4585" xr:uid="{00000000-0005-0000-0000-0000AF110000}"/>
    <cellStyle name="Normal 2 2 2 2 2 2 2" xfId="4586" xr:uid="{00000000-0005-0000-0000-0000B0110000}"/>
    <cellStyle name="Normal 2 2 2 2 2 2 3" xfId="4587" xr:uid="{00000000-0005-0000-0000-0000B1110000}"/>
    <cellStyle name="Normal 2 2 2 2 2 3" xfId="4588" xr:uid="{00000000-0005-0000-0000-0000B2110000}"/>
    <cellStyle name="Normal 2 2 2 2 2 3 2" xfId="4589" xr:uid="{00000000-0005-0000-0000-0000B3110000}"/>
    <cellStyle name="Normal 2 2 2 2 2 3 3" xfId="4590" xr:uid="{00000000-0005-0000-0000-0000B4110000}"/>
    <cellStyle name="Normal 2 2 2 2 2 4" xfId="4591" xr:uid="{00000000-0005-0000-0000-0000B5110000}"/>
    <cellStyle name="Normal 2 2 2 2 2 5" xfId="4592" xr:uid="{00000000-0005-0000-0000-0000B6110000}"/>
    <cellStyle name="Normal 2 2 2 2 3" xfId="4593" xr:uid="{00000000-0005-0000-0000-0000B7110000}"/>
    <cellStyle name="Normal 2 2 2 2 3 2" xfId="4594" xr:uid="{00000000-0005-0000-0000-0000B8110000}"/>
    <cellStyle name="Normal 2 2 2 2 3 3" xfId="4595" xr:uid="{00000000-0005-0000-0000-0000B9110000}"/>
    <cellStyle name="Normal 2 2 2 2 3 4" xfId="4596" xr:uid="{00000000-0005-0000-0000-0000BA110000}"/>
    <cellStyle name="Normal 2 2 2 2 3 5" xfId="4597" xr:uid="{00000000-0005-0000-0000-0000BB110000}"/>
    <cellStyle name="Normal 2 2 2 2 4" xfId="4598" xr:uid="{00000000-0005-0000-0000-0000BC110000}"/>
    <cellStyle name="Normal 2 2 2 2 4 2" xfId="4599" xr:uid="{00000000-0005-0000-0000-0000BD110000}"/>
    <cellStyle name="Normal 2 2 2 2 4 3" xfId="4600" xr:uid="{00000000-0005-0000-0000-0000BE110000}"/>
    <cellStyle name="Normal 2 2 2 2 5" xfId="4601" xr:uid="{00000000-0005-0000-0000-0000BF110000}"/>
    <cellStyle name="Normal 2 2 2 2 5 2" xfId="4602" xr:uid="{00000000-0005-0000-0000-0000C0110000}"/>
    <cellStyle name="Normal 2 2 2 2 5 3" xfId="4603" xr:uid="{00000000-0005-0000-0000-0000C1110000}"/>
    <cellStyle name="Normal 2 2 2 2 6" xfId="4604" xr:uid="{00000000-0005-0000-0000-0000C2110000}"/>
    <cellStyle name="Normal 2 2 2 2 7" xfId="4605" xr:uid="{00000000-0005-0000-0000-0000C3110000}"/>
    <cellStyle name="Normal 2 2 2 3" xfId="4606" xr:uid="{00000000-0005-0000-0000-0000C4110000}"/>
    <cellStyle name="Normal 2 2 2 3 2" xfId="4607" xr:uid="{00000000-0005-0000-0000-0000C5110000}"/>
    <cellStyle name="Normal 2 2 2 3 2 2" xfId="4608" xr:uid="{00000000-0005-0000-0000-0000C6110000}"/>
    <cellStyle name="Normal 2 2 2 3 2 3" xfId="4609" xr:uid="{00000000-0005-0000-0000-0000C7110000}"/>
    <cellStyle name="Normal 2 2 2 3 3" xfId="4610" xr:uid="{00000000-0005-0000-0000-0000C8110000}"/>
    <cellStyle name="Normal 2 2 2 3 3 2" xfId="4611" xr:uid="{00000000-0005-0000-0000-0000C9110000}"/>
    <cellStyle name="Normal 2 2 2 3 3 3" xfId="4612" xr:uid="{00000000-0005-0000-0000-0000CA110000}"/>
    <cellStyle name="Normal 2 2 2 3 4" xfId="4613" xr:uid="{00000000-0005-0000-0000-0000CB110000}"/>
    <cellStyle name="Normal 2 2 2 3 5" xfId="4614" xr:uid="{00000000-0005-0000-0000-0000CC110000}"/>
    <cellStyle name="Normal 2 2 2 4" xfId="4615" xr:uid="{00000000-0005-0000-0000-0000CD110000}"/>
    <cellStyle name="Normal 2 2 2 4 2" xfId="4616" xr:uid="{00000000-0005-0000-0000-0000CE110000}"/>
    <cellStyle name="Normal 2 2 2 4 3" xfId="4617" xr:uid="{00000000-0005-0000-0000-0000CF110000}"/>
    <cellStyle name="Normal 2 2 2 4 4" xfId="4618" xr:uid="{00000000-0005-0000-0000-0000D0110000}"/>
    <cellStyle name="Normal 2 2 2 4 5" xfId="4619" xr:uid="{00000000-0005-0000-0000-0000D1110000}"/>
    <cellStyle name="Normal 2 2 2 5" xfId="4620" xr:uid="{00000000-0005-0000-0000-0000D2110000}"/>
    <cellStyle name="Normal 2 2 2 5 2" xfId="4621" xr:uid="{00000000-0005-0000-0000-0000D3110000}"/>
    <cellStyle name="Normal 2 2 2 5 3" xfId="4622" xr:uid="{00000000-0005-0000-0000-0000D4110000}"/>
    <cellStyle name="Normal 2 2 2 6" xfId="4623" xr:uid="{00000000-0005-0000-0000-0000D5110000}"/>
    <cellStyle name="Normal 2 2 2 6 2" xfId="4624" xr:uid="{00000000-0005-0000-0000-0000D6110000}"/>
    <cellStyle name="Normal 2 2 2 6 3" xfId="4625" xr:uid="{00000000-0005-0000-0000-0000D7110000}"/>
    <cellStyle name="Normal 2 2 2 7" xfId="4626" xr:uid="{00000000-0005-0000-0000-0000D8110000}"/>
    <cellStyle name="Normal 2 2 2 8" xfId="4627" xr:uid="{00000000-0005-0000-0000-0000D9110000}"/>
    <cellStyle name="Normal 2 2 2 9" xfId="4628" xr:uid="{00000000-0005-0000-0000-0000DA110000}"/>
    <cellStyle name="Normal 2 2 2_Epicor" xfId="4629" xr:uid="{00000000-0005-0000-0000-0000DB110000}"/>
    <cellStyle name="Normal 2 2 3" xfId="91" xr:uid="{00000000-0005-0000-0000-0000DC110000}"/>
    <cellStyle name="Normal 2 2 3 2" xfId="4631" xr:uid="{00000000-0005-0000-0000-0000DD110000}"/>
    <cellStyle name="Normal 2 2 3 2 2" xfId="4632" xr:uid="{00000000-0005-0000-0000-0000DE110000}"/>
    <cellStyle name="Normal 2 2 3 2 2 2" xfId="4633" xr:uid="{00000000-0005-0000-0000-0000DF110000}"/>
    <cellStyle name="Normal 2 2 3 2 2 3" xfId="4634" xr:uid="{00000000-0005-0000-0000-0000E0110000}"/>
    <cellStyle name="Normal 2 2 3 2 3" xfId="4635" xr:uid="{00000000-0005-0000-0000-0000E1110000}"/>
    <cellStyle name="Normal 2 2 3 2 3 2" xfId="4636" xr:uid="{00000000-0005-0000-0000-0000E2110000}"/>
    <cellStyle name="Normal 2 2 3 2 3 3" xfId="4637" xr:uid="{00000000-0005-0000-0000-0000E3110000}"/>
    <cellStyle name="Normal 2 2 3 2 4" xfId="4638" xr:uid="{00000000-0005-0000-0000-0000E4110000}"/>
    <cellStyle name="Normal 2 2 3 2 5" xfId="4639" xr:uid="{00000000-0005-0000-0000-0000E5110000}"/>
    <cellStyle name="Normal 2 2 3 3" xfId="4640" xr:uid="{00000000-0005-0000-0000-0000E6110000}"/>
    <cellStyle name="Normal 2 2 3 3 2" xfId="4641" xr:uid="{00000000-0005-0000-0000-0000E7110000}"/>
    <cellStyle name="Normal 2 2 3 3 3" xfId="4642" xr:uid="{00000000-0005-0000-0000-0000E8110000}"/>
    <cellStyle name="Normal 2 2 3 3 4" xfId="4643" xr:uid="{00000000-0005-0000-0000-0000E9110000}"/>
    <cellStyle name="Normal 2 2 3 3 5" xfId="4644" xr:uid="{00000000-0005-0000-0000-0000EA110000}"/>
    <cellStyle name="Normal 2 2 3 4" xfId="4645" xr:uid="{00000000-0005-0000-0000-0000EB110000}"/>
    <cellStyle name="Normal 2 2 3 4 2" xfId="4646" xr:uid="{00000000-0005-0000-0000-0000EC110000}"/>
    <cellStyle name="Normal 2 2 3 4 3" xfId="4647" xr:uid="{00000000-0005-0000-0000-0000ED110000}"/>
    <cellStyle name="Normal 2 2 3 5" xfId="4648" xr:uid="{00000000-0005-0000-0000-0000EE110000}"/>
    <cellStyle name="Normal 2 2 3 5 2" xfId="4649" xr:uid="{00000000-0005-0000-0000-0000EF110000}"/>
    <cellStyle name="Normal 2 2 3 5 3" xfId="4650" xr:uid="{00000000-0005-0000-0000-0000F0110000}"/>
    <cellStyle name="Normal 2 2 3 6" xfId="4651" xr:uid="{00000000-0005-0000-0000-0000F1110000}"/>
    <cellStyle name="Normal 2 2 3 7" xfId="4652" xr:uid="{00000000-0005-0000-0000-0000F2110000}"/>
    <cellStyle name="Normal 2 2 3 8" xfId="4630" xr:uid="{00000000-0005-0000-0000-0000F3110000}"/>
    <cellStyle name="Normal 2 2 4" xfId="4653" xr:uid="{00000000-0005-0000-0000-0000F4110000}"/>
    <cellStyle name="Normal 2 2 4 2" xfId="4654" xr:uid="{00000000-0005-0000-0000-0000F5110000}"/>
    <cellStyle name="Normal 2 2 4 2 2" xfId="4655" xr:uid="{00000000-0005-0000-0000-0000F6110000}"/>
    <cellStyle name="Normal 2 2 4 2 3" xfId="4656" xr:uid="{00000000-0005-0000-0000-0000F7110000}"/>
    <cellStyle name="Normal 2 2 4 3" xfId="4657" xr:uid="{00000000-0005-0000-0000-0000F8110000}"/>
    <cellStyle name="Normal 2 2 4 3 2" xfId="4658" xr:uid="{00000000-0005-0000-0000-0000F9110000}"/>
    <cellStyle name="Normal 2 2 4 3 3" xfId="4659" xr:uid="{00000000-0005-0000-0000-0000FA110000}"/>
    <cellStyle name="Normal 2 2 4 4" xfId="4660" xr:uid="{00000000-0005-0000-0000-0000FB110000}"/>
    <cellStyle name="Normal 2 2 4 5" xfId="4661" xr:uid="{00000000-0005-0000-0000-0000FC110000}"/>
    <cellStyle name="Normal 2 2 5" xfId="4662" xr:uid="{00000000-0005-0000-0000-0000FD110000}"/>
    <cellStyle name="Normal 2 2 5 2" xfId="4663" xr:uid="{00000000-0005-0000-0000-0000FE110000}"/>
    <cellStyle name="Normal 2 2 5 3" xfId="4664" xr:uid="{00000000-0005-0000-0000-0000FF110000}"/>
    <cellStyle name="Normal 2 2 5 4" xfId="4665" xr:uid="{00000000-0005-0000-0000-000000120000}"/>
    <cellStyle name="Normal 2 2 5 5" xfId="4666" xr:uid="{00000000-0005-0000-0000-000001120000}"/>
    <cellStyle name="Normal 2 2 6" xfId="4667" xr:uid="{00000000-0005-0000-0000-000002120000}"/>
    <cellStyle name="Normal 2 2 6 2" xfId="4668" xr:uid="{00000000-0005-0000-0000-000003120000}"/>
    <cellStyle name="Normal 2 2 6 3" xfId="4669" xr:uid="{00000000-0005-0000-0000-000004120000}"/>
    <cellStyle name="Normal 2 2 7" xfId="4670" xr:uid="{00000000-0005-0000-0000-000005120000}"/>
    <cellStyle name="Normal 2 2 7 2" xfId="4671" xr:uid="{00000000-0005-0000-0000-000006120000}"/>
    <cellStyle name="Normal 2 2 7 3" xfId="4672" xr:uid="{00000000-0005-0000-0000-000007120000}"/>
    <cellStyle name="Normal 2 2 8" xfId="4673" xr:uid="{00000000-0005-0000-0000-000008120000}"/>
    <cellStyle name="Normal 2 2 9" xfId="4674" xr:uid="{00000000-0005-0000-0000-000009120000}"/>
    <cellStyle name="Normal 2 2_10051" xfId="4675" xr:uid="{00000000-0005-0000-0000-00000A120000}"/>
    <cellStyle name="Normal 2 3" xfId="92" xr:uid="{00000000-0005-0000-0000-00000B120000}"/>
    <cellStyle name="Normal 2 3 2" xfId="93" xr:uid="{00000000-0005-0000-0000-00000C120000}"/>
    <cellStyle name="Normal 2 3 2 2" xfId="4678" xr:uid="{00000000-0005-0000-0000-00000D120000}"/>
    <cellStyle name="Normal 2 3 2 3" xfId="4679" xr:uid="{00000000-0005-0000-0000-00000E120000}"/>
    <cellStyle name="Normal 2 3 2 4" xfId="4677" xr:uid="{00000000-0005-0000-0000-00000F120000}"/>
    <cellStyle name="Normal 2 3 2_Active emp List" xfId="4680" xr:uid="{00000000-0005-0000-0000-000010120000}"/>
    <cellStyle name="Normal 2 3 3" xfId="94" xr:uid="{00000000-0005-0000-0000-000011120000}"/>
    <cellStyle name="Normal 2 3 3 2" xfId="4682" xr:uid="{00000000-0005-0000-0000-000012120000}"/>
    <cellStyle name="Normal 2 3 3 2 2" xfId="4683" xr:uid="{00000000-0005-0000-0000-000013120000}"/>
    <cellStyle name="Normal 2 3 3 3" xfId="4684" xr:uid="{00000000-0005-0000-0000-000014120000}"/>
    <cellStyle name="Normal 2 3 3 4" xfId="4681" xr:uid="{00000000-0005-0000-0000-000015120000}"/>
    <cellStyle name="Normal 2 3 4" xfId="225" xr:uid="{00000000-0005-0000-0000-000016120000}"/>
    <cellStyle name="Normal 2 3 4 2" xfId="4686" xr:uid="{00000000-0005-0000-0000-000017120000}"/>
    <cellStyle name="Normal 2 3 4 3" xfId="4685" xr:uid="{00000000-0005-0000-0000-000018120000}"/>
    <cellStyle name="Normal 2 3 5" xfId="4687" xr:uid="{00000000-0005-0000-0000-000019120000}"/>
    <cellStyle name="Normal 2 3 6" xfId="4676" xr:uid="{00000000-0005-0000-0000-00001A120000}"/>
    <cellStyle name="Normal 2 3_2012 TV Budget" xfId="4688" xr:uid="{00000000-0005-0000-0000-00001B120000}"/>
    <cellStyle name="Normal 2 4" xfId="95" xr:uid="{00000000-0005-0000-0000-00001C120000}"/>
    <cellStyle name="Normal 2 4 2" xfId="4690" xr:uid="{00000000-0005-0000-0000-00001D120000}"/>
    <cellStyle name="Normal 2 4 2 2" xfId="4691" xr:uid="{00000000-0005-0000-0000-00001E120000}"/>
    <cellStyle name="Normal 2 4 2 2 2" xfId="4692" xr:uid="{00000000-0005-0000-0000-00001F120000}"/>
    <cellStyle name="Normal 2 4 2 3" xfId="4693" xr:uid="{00000000-0005-0000-0000-000020120000}"/>
    <cellStyle name="Normal 2 4 2 4" xfId="4694" xr:uid="{00000000-0005-0000-0000-000021120000}"/>
    <cellStyle name="Normal 2 4 2 5" xfId="4695" xr:uid="{00000000-0005-0000-0000-000022120000}"/>
    <cellStyle name="Normal 2 4 2 6" xfId="4696" xr:uid="{00000000-0005-0000-0000-000023120000}"/>
    <cellStyle name="Normal 2 4 3" xfId="4697" xr:uid="{00000000-0005-0000-0000-000024120000}"/>
    <cellStyle name="Normal 2 4 3 2" xfId="4698" xr:uid="{00000000-0005-0000-0000-000025120000}"/>
    <cellStyle name="Normal 2 4 3 3" xfId="4699" xr:uid="{00000000-0005-0000-0000-000026120000}"/>
    <cellStyle name="Normal 2 4 4" xfId="4700" xr:uid="{00000000-0005-0000-0000-000027120000}"/>
    <cellStyle name="Normal 2 4 4 2" xfId="4701" xr:uid="{00000000-0005-0000-0000-000028120000}"/>
    <cellStyle name="Normal 2 4 4 3" xfId="4702" xr:uid="{00000000-0005-0000-0000-000029120000}"/>
    <cellStyle name="Normal 2 4 5" xfId="4703" xr:uid="{00000000-0005-0000-0000-00002A120000}"/>
    <cellStyle name="Normal 2 4 6" xfId="4704" xr:uid="{00000000-0005-0000-0000-00002B120000}"/>
    <cellStyle name="Normal 2 4 7" xfId="4689" xr:uid="{00000000-0005-0000-0000-00002C120000}"/>
    <cellStyle name="Normal 2 5" xfId="96" xr:uid="{00000000-0005-0000-0000-00002D120000}"/>
    <cellStyle name="Normal 2 5 2" xfId="4706" xr:uid="{00000000-0005-0000-0000-00002E120000}"/>
    <cellStyle name="Normal 2 5 3" xfId="4707" xr:uid="{00000000-0005-0000-0000-00002F120000}"/>
    <cellStyle name="Normal 2 5 4" xfId="4705" xr:uid="{00000000-0005-0000-0000-000030120000}"/>
    <cellStyle name="Normal 2 6" xfId="4708" xr:uid="{00000000-0005-0000-0000-000031120000}"/>
    <cellStyle name="Normal 2 6 2" xfId="4709" xr:uid="{00000000-0005-0000-0000-000032120000}"/>
    <cellStyle name="Normal 2 6 2 2" xfId="4710" xr:uid="{00000000-0005-0000-0000-000033120000}"/>
    <cellStyle name="Normal 2 6 3" xfId="4711" xr:uid="{00000000-0005-0000-0000-000034120000}"/>
    <cellStyle name="Normal 2 6 4" xfId="4712" xr:uid="{00000000-0005-0000-0000-000035120000}"/>
    <cellStyle name="Normal 2 6 5" xfId="4713" xr:uid="{00000000-0005-0000-0000-000036120000}"/>
    <cellStyle name="Normal 2 7" xfId="4714" xr:uid="{00000000-0005-0000-0000-000037120000}"/>
    <cellStyle name="Normal 2 7 2" xfId="4715" xr:uid="{00000000-0005-0000-0000-000038120000}"/>
    <cellStyle name="Normal 2 7 3" xfId="4716" xr:uid="{00000000-0005-0000-0000-000039120000}"/>
    <cellStyle name="Normal 2 7 4" xfId="4717" xr:uid="{00000000-0005-0000-0000-00003A120000}"/>
    <cellStyle name="Normal 2 7 5" xfId="4718" xr:uid="{00000000-0005-0000-0000-00003B120000}"/>
    <cellStyle name="Normal 2 8" xfId="4719" xr:uid="{00000000-0005-0000-0000-00003C120000}"/>
    <cellStyle name="Normal 2 8 2" xfId="4720" xr:uid="{00000000-0005-0000-0000-00003D120000}"/>
    <cellStyle name="Normal 2 8 2 2" xfId="4721" xr:uid="{00000000-0005-0000-0000-00003E120000}"/>
    <cellStyle name="Normal 2 8 3" xfId="4722" xr:uid="{00000000-0005-0000-0000-00003F120000}"/>
    <cellStyle name="Normal 2 8 4" xfId="4723" xr:uid="{00000000-0005-0000-0000-000040120000}"/>
    <cellStyle name="Normal 2 8 5" xfId="4724" xr:uid="{00000000-0005-0000-0000-000041120000}"/>
    <cellStyle name="Normal 2 9" xfId="4725" xr:uid="{00000000-0005-0000-0000-000042120000}"/>
    <cellStyle name="Normal 2 9 2" xfId="4726" xr:uid="{00000000-0005-0000-0000-000043120000}"/>
    <cellStyle name="Normal 2 9 3" xfId="4727" xr:uid="{00000000-0005-0000-0000-000044120000}"/>
    <cellStyle name="Normal 2 9 4" xfId="4728" xr:uid="{00000000-0005-0000-0000-000045120000}"/>
    <cellStyle name="Normal 2 9 5" xfId="4729" xr:uid="{00000000-0005-0000-0000-000046120000}"/>
    <cellStyle name="Normal 2_2009 Regulated Price Out" xfId="4730" xr:uid="{00000000-0005-0000-0000-000047120000}"/>
    <cellStyle name="Normal 20" xfId="226" xr:uid="{00000000-0005-0000-0000-000048120000}"/>
    <cellStyle name="Normal 20 2" xfId="4731" xr:uid="{00000000-0005-0000-0000-000049120000}"/>
    <cellStyle name="Normal 20 2 2" xfId="4732" xr:uid="{00000000-0005-0000-0000-00004A120000}"/>
    <cellStyle name="Normal 20 2 3" xfId="4733" xr:uid="{00000000-0005-0000-0000-00004B120000}"/>
    <cellStyle name="Normal 20 2 4" xfId="4734" xr:uid="{00000000-0005-0000-0000-00004C120000}"/>
    <cellStyle name="Normal 20 3" xfId="4735" xr:uid="{00000000-0005-0000-0000-00004D120000}"/>
    <cellStyle name="Normal 20 4" xfId="4736" xr:uid="{00000000-0005-0000-0000-00004E120000}"/>
    <cellStyle name="Normal 20 4 2" xfId="4737" xr:uid="{00000000-0005-0000-0000-00004F120000}"/>
    <cellStyle name="Normal 20 5" xfId="4738" xr:uid="{00000000-0005-0000-0000-000050120000}"/>
    <cellStyle name="Normal 20 6" xfId="4739" xr:uid="{00000000-0005-0000-0000-000051120000}"/>
    <cellStyle name="Normal 20 7" xfId="4740" xr:uid="{00000000-0005-0000-0000-000052120000}"/>
    <cellStyle name="Normal 21" xfId="227" xr:uid="{00000000-0005-0000-0000-000053120000}"/>
    <cellStyle name="Normal 21 2" xfId="4741" xr:uid="{00000000-0005-0000-0000-000054120000}"/>
    <cellStyle name="Normal 21 2 2" xfId="4742" xr:uid="{00000000-0005-0000-0000-000055120000}"/>
    <cellStyle name="Normal 21 2 3" xfId="4743" xr:uid="{00000000-0005-0000-0000-000056120000}"/>
    <cellStyle name="Normal 21 2 4" xfId="4744" xr:uid="{00000000-0005-0000-0000-000057120000}"/>
    <cellStyle name="Normal 21 3" xfId="4745" xr:uid="{00000000-0005-0000-0000-000058120000}"/>
    <cellStyle name="Normal 21 3 2" xfId="4746" xr:uid="{00000000-0005-0000-0000-000059120000}"/>
    <cellStyle name="Normal 21 4" xfId="4747" xr:uid="{00000000-0005-0000-0000-00005A120000}"/>
    <cellStyle name="Normal 21 5" xfId="4748" xr:uid="{00000000-0005-0000-0000-00005B120000}"/>
    <cellStyle name="Normal 22" xfId="228" xr:uid="{00000000-0005-0000-0000-00005C120000}"/>
    <cellStyle name="Normal 22 2" xfId="4749" xr:uid="{00000000-0005-0000-0000-00005D120000}"/>
    <cellStyle name="Normal 22 2 2" xfId="4750" xr:uid="{00000000-0005-0000-0000-00005E120000}"/>
    <cellStyle name="Normal 22 2 3" xfId="4751" xr:uid="{00000000-0005-0000-0000-00005F120000}"/>
    <cellStyle name="Normal 22 3" xfId="4752" xr:uid="{00000000-0005-0000-0000-000060120000}"/>
    <cellStyle name="Normal 22 3 2" xfId="4753" xr:uid="{00000000-0005-0000-0000-000061120000}"/>
    <cellStyle name="Normal 22 4" xfId="4754" xr:uid="{00000000-0005-0000-0000-000062120000}"/>
    <cellStyle name="Normal 22 5" xfId="4755" xr:uid="{00000000-0005-0000-0000-000063120000}"/>
    <cellStyle name="Normal 23" xfId="229" xr:uid="{00000000-0005-0000-0000-000064120000}"/>
    <cellStyle name="Normal 23 2" xfId="4756" xr:uid="{00000000-0005-0000-0000-000065120000}"/>
    <cellStyle name="Normal 23 2 2" xfId="4757" xr:uid="{00000000-0005-0000-0000-000066120000}"/>
    <cellStyle name="Normal 23 2 3" xfId="4758" xr:uid="{00000000-0005-0000-0000-000067120000}"/>
    <cellStyle name="Normal 23 3" xfId="4759" xr:uid="{00000000-0005-0000-0000-000068120000}"/>
    <cellStyle name="Normal 23 3 2" xfId="4760" xr:uid="{00000000-0005-0000-0000-000069120000}"/>
    <cellStyle name="Normal 23 3 3" xfId="4761" xr:uid="{00000000-0005-0000-0000-00006A120000}"/>
    <cellStyle name="Normal 23 4" xfId="4762" xr:uid="{00000000-0005-0000-0000-00006B120000}"/>
    <cellStyle name="Normal 24" xfId="230" xr:uid="{00000000-0005-0000-0000-00006C120000}"/>
    <cellStyle name="Normal 24 2" xfId="4763" xr:uid="{00000000-0005-0000-0000-00006D120000}"/>
    <cellStyle name="Normal 24 2 2" xfId="4764" xr:uid="{00000000-0005-0000-0000-00006E120000}"/>
    <cellStyle name="Normal 24 2 3" xfId="4765" xr:uid="{00000000-0005-0000-0000-00006F120000}"/>
    <cellStyle name="Normal 24 3" xfId="4766" xr:uid="{00000000-0005-0000-0000-000070120000}"/>
    <cellStyle name="Normal 24 3 2" xfId="4767" xr:uid="{00000000-0005-0000-0000-000071120000}"/>
    <cellStyle name="Normal 24 4" xfId="4768" xr:uid="{00000000-0005-0000-0000-000072120000}"/>
    <cellStyle name="Normal 24 5" xfId="4769" xr:uid="{00000000-0005-0000-0000-000073120000}"/>
    <cellStyle name="Normal 25" xfId="231" xr:uid="{00000000-0005-0000-0000-000074120000}"/>
    <cellStyle name="Normal 25 2" xfId="4770" xr:uid="{00000000-0005-0000-0000-000075120000}"/>
    <cellStyle name="Normal 25 2 2" xfId="4771" xr:uid="{00000000-0005-0000-0000-000076120000}"/>
    <cellStyle name="Normal 25 2 3" xfId="4772" xr:uid="{00000000-0005-0000-0000-000077120000}"/>
    <cellStyle name="Normal 25 3" xfId="4773" xr:uid="{00000000-0005-0000-0000-000078120000}"/>
    <cellStyle name="Normal 25 3 2" xfId="4774" xr:uid="{00000000-0005-0000-0000-000079120000}"/>
    <cellStyle name="Normal 25 4" xfId="4775" xr:uid="{00000000-0005-0000-0000-00007A120000}"/>
    <cellStyle name="Normal 26" xfId="232" xr:uid="{00000000-0005-0000-0000-00007B120000}"/>
    <cellStyle name="Normal 26 2" xfId="4777" xr:uid="{00000000-0005-0000-0000-00007C120000}"/>
    <cellStyle name="Normal 26 2 2" xfId="4778" xr:uid="{00000000-0005-0000-0000-00007D120000}"/>
    <cellStyle name="Normal 26 2 3" xfId="4779" xr:uid="{00000000-0005-0000-0000-00007E120000}"/>
    <cellStyle name="Normal 26 3" xfId="4780" xr:uid="{00000000-0005-0000-0000-00007F120000}"/>
    <cellStyle name="Normal 26 4" xfId="4781" xr:uid="{00000000-0005-0000-0000-000080120000}"/>
    <cellStyle name="Normal 26 5" xfId="4776" xr:uid="{00000000-0005-0000-0000-000081120000}"/>
    <cellStyle name="Normal 27" xfId="233" xr:uid="{00000000-0005-0000-0000-000082120000}"/>
    <cellStyle name="Normal 27 2" xfId="4782" xr:uid="{00000000-0005-0000-0000-000083120000}"/>
    <cellStyle name="Normal 27 2 2" xfId="4783" xr:uid="{00000000-0005-0000-0000-000084120000}"/>
    <cellStyle name="Normal 27 2 2 2" xfId="4784" xr:uid="{00000000-0005-0000-0000-000085120000}"/>
    <cellStyle name="Normal 27 3" xfId="4785" xr:uid="{00000000-0005-0000-0000-000086120000}"/>
    <cellStyle name="Normal 27 3 2" xfId="4786" xr:uid="{00000000-0005-0000-0000-000087120000}"/>
    <cellStyle name="Normal 27 3 3" xfId="4787" xr:uid="{00000000-0005-0000-0000-000088120000}"/>
    <cellStyle name="Normal 27 4" xfId="4788" xr:uid="{00000000-0005-0000-0000-000089120000}"/>
    <cellStyle name="Normal 27 5" xfId="4789" xr:uid="{00000000-0005-0000-0000-00008A120000}"/>
    <cellStyle name="Normal 28" xfId="123" xr:uid="{00000000-0005-0000-0000-00008B120000}"/>
    <cellStyle name="Normal 28 2" xfId="4791" xr:uid="{00000000-0005-0000-0000-00008C120000}"/>
    <cellStyle name="Normal 28 2 2" xfId="4792" xr:uid="{00000000-0005-0000-0000-00008D120000}"/>
    <cellStyle name="Normal 28 2 3" xfId="4793" xr:uid="{00000000-0005-0000-0000-00008E120000}"/>
    <cellStyle name="Normal 28 3" xfId="4794" xr:uid="{00000000-0005-0000-0000-00008F120000}"/>
    <cellStyle name="Normal 28 4" xfId="4795" xr:uid="{00000000-0005-0000-0000-000090120000}"/>
    <cellStyle name="Normal 28 5" xfId="4790" xr:uid="{00000000-0005-0000-0000-000091120000}"/>
    <cellStyle name="Normal 29" xfId="4796" xr:uid="{00000000-0005-0000-0000-000092120000}"/>
    <cellStyle name="Normal 29 2" xfId="4797" xr:uid="{00000000-0005-0000-0000-000093120000}"/>
    <cellStyle name="Normal 29 2 2" xfId="4798" xr:uid="{00000000-0005-0000-0000-000094120000}"/>
    <cellStyle name="Normal 29 3" xfId="4799" xr:uid="{00000000-0005-0000-0000-000095120000}"/>
    <cellStyle name="Normal 29 4" xfId="4800" xr:uid="{00000000-0005-0000-0000-000096120000}"/>
    <cellStyle name="Normal 3" xfId="97" xr:uid="{00000000-0005-0000-0000-000097120000}"/>
    <cellStyle name="Normal 3 2" xfId="98" xr:uid="{00000000-0005-0000-0000-000098120000}"/>
    <cellStyle name="Normal 3 2 2" xfId="4802" xr:uid="{00000000-0005-0000-0000-000099120000}"/>
    <cellStyle name="Normal 3 2 2 2" xfId="4803" xr:uid="{00000000-0005-0000-0000-00009A120000}"/>
    <cellStyle name="Normal 3 2 2 2 2" xfId="4804" xr:uid="{00000000-0005-0000-0000-00009B120000}"/>
    <cellStyle name="Normal 3 2 2 2 2 2" xfId="4805" xr:uid="{00000000-0005-0000-0000-00009C120000}"/>
    <cellStyle name="Normal 3 2 2 2 3" xfId="4806" xr:uid="{00000000-0005-0000-0000-00009D120000}"/>
    <cellStyle name="Normal 3 2 2 2 3 2" xfId="4807" xr:uid="{00000000-0005-0000-0000-00009E120000}"/>
    <cellStyle name="Normal 3 2 2 2 4" xfId="4808" xr:uid="{00000000-0005-0000-0000-00009F120000}"/>
    <cellStyle name="Normal 3 2 2 3" xfId="4809" xr:uid="{00000000-0005-0000-0000-0000A0120000}"/>
    <cellStyle name="Normal 3 2 2 3 2" xfId="4810" xr:uid="{00000000-0005-0000-0000-0000A1120000}"/>
    <cellStyle name="Normal 3 2 2 3 3" xfId="4811" xr:uid="{00000000-0005-0000-0000-0000A2120000}"/>
    <cellStyle name="Normal 3 2 2 4" xfId="4812" xr:uid="{00000000-0005-0000-0000-0000A3120000}"/>
    <cellStyle name="Normal 3 2 2 4 2" xfId="4813" xr:uid="{00000000-0005-0000-0000-0000A4120000}"/>
    <cellStyle name="Normal 3 2 2 5" xfId="4814" xr:uid="{00000000-0005-0000-0000-0000A5120000}"/>
    <cellStyle name="Normal 3 2 2 6" xfId="4815" xr:uid="{00000000-0005-0000-0000-0000A6120000}"/>
    <cellStyle name="Normal 3 2 2 7" xfId="4816" xr:uid="{00000000-0005-0000-0000-0000A7120000}"/>
    <cellStyle name="Normal 3 2 3" xfId="4817" xr:uid="{00000000-0005-0000-0000-0000A8120000}"/>
    <cellStyle name="Normal 3 2 3 2" xfId="4818" xr:uid="{00000000-0005-0000-0000-0000A9120000}"/>
    <cellStyle name="Normal 3 2 3 2 2" xfId="4819" xr:uid="{00000000-0005-0000-0000-0000AA120000}"/>
    <cellStyle name="Normal 3 2 3 3" xfId="4820" xr:uid="{00000000-0005-0000-0000-0000AB120000}"/>
    <cellStyle name="Normal 3 2 3 3 2" xfId="4821" xr:uid="{00000000-0005-0000-0000-0000AC120000}"/>
    <cellStyle name="Normal 3 2 3 4" xfId="4822" xr:uid="{00000000-0005-0000-0000-0000AD120000}"/>
    <cellStyle name="Normal 3 2 3 5" xfId="4823" xr:uid="{00000000-0005-0000-0000-0000AE120000}"/>
    <cellStyle name="Normal 3 2 4" xfId="4824" xr:uid="{00000000-0005-0000-0000-0000AF120000}"/>
    <cellStyle name="Normal 3 2 4 2" xfId="4825" xr:uid="{00000000-0005-0000-0000-0000B0120000}"/>
    <cellStyle name="Normal 3 2 4 3" xfId="4826" xr:uid="{00000000-0005-0000-0000-0000B1120000}"/>
    <cellStyle name="Normal 3 2 5" xfId="4827" xr:uid="{00000000-0005-0000-0000-0000B2120000}"/>
    <cellStyle name="Normal 3 2 5 2" xfId="4828" xr:uid="{00000000-0005-0000-0000-0000B3120000}"/>
    <cellStyle name="Normal 3 2 5 3" xfId="4829" xr:uid="{00000000-0005-0000-0000-0000B4120000}"/>
    <cellStyle name="Normal 3 2 6" xfId="4830" xr:uid="{00000000-0005-0000-0000-0000B5120000}"/>
    <cellStyle name="Normal 3 2 7" xfId="4831" xr:uid="{00000000-0005-0000-0000-0000B6120000}"/>
    <cellStyle name="Normal 3 2 8" xfId="4832" xr:uid="{00000000-0005-0000-0000-0000B7120000}"/>
    <cellStyle name="Normal 3 2 9" xfId="4801" xr:uid="{00000000-0005-0000-0000-0000B8120000}"/>
    <cellStyle name="Normal 3 3" xfId="234" xr:uid="{00000000-0005-0000-0000-0000B9120000}"/>
    <cellStyle name="Normal 3 3 2" xfId="4833" xr:uid="{00000000-0005-0000-0000-0000BA120000}"/>
    <cellStyle name="Normal 3 3 2 2" xfId="4834" xr:uid="{00000000-0005-0000-0000-0000BB120000}"/>
    <cellStyle name="Normal 3 3 3" xfId="4835" xr:uid="{00000000-0005-0000-0000-0000BC120000}"/>
    <cellStyle name="Normal 3 3 3 2" xfId="4836" xr:uid="{00000000-0005-0000-0000-0000BD120000}"/>
    <cellStyle name="Normal 3 3 4" xfId="4837" xr:uid="{00000000-0005-0000-0000-0000BE120000}"/>
    <cellStyle name="Normal 3 3 4 2" xfId="4838" xr:uid="{00000000-0005-0000-0000-0000BF120000}"/>
    <cellStyle name="Normal 3 3 5" xfId="4839" xr:uid="{00000000-0005-0000-0000-0000C0120000}"/>
    <cellStyle name="Normal 3 4" xfId="4840" xr:uid="{00000000-0005-0000-0000-0000C1120000}"/>
    <cellStyle name="Normal 3 4 2" xfId="4841" xr:uid="{00000000-0005-0000-0000-0000C2120000}"/>
    <cellStyle name="Normal 3 4 3" xfId="4842" xr:uid="{00000000-0005-0000-0000-0000C3120000}"/>
    <cellStyle name="Normal 3 4 4" xfId="4843" xr:uid="{00000000-0005-0000-0000-0000C4120000}"/>
    <cellStyle name="Normal 3 5" xfId="4844" xr:uid="{00000000-0005-0000-0000-0000C5120000}"/>
    <cellStyle name="Normal 3 5 2" xfId="4845" xr:uid="{00000000-0005-0000-0000-0000C6120000}"/>
    <cellStyle name="Normal 3 6" xfId="4846" xr:uid="{00000000-0005-0000-0000-0000C7120000}"/>
    <cellStyle name="Normal 3 7" xfId="4847" xr:uid="{00000000-0005-0000-0000-0000C8120000}"/>
    <cellStyle name="Normal 3 8" xfId="9018" xr:uid="{00000000-0005-0000-0000-0000C9120000}"/>
    <cellStyle name="Normal 3_10051" xfId="4848" xr:uid="{00000000-0005-0000-0000-0000CA120000}"/>
    <cellStyle name="Normal 30" xfId="4849" xr:uid="{00000000-0005-0000-0000-0000CB120000}"/>
    <cellStyle name="Normal 30 2" xfId="4850" xr:uid="{00000000-0005-0000-0000-0000CC120000}"/>
    <cellStyle name="Normal 30 3" xfId="4851" xr:uid="{00000000-0005-0000-0000-0000CD120000}"/>
    <cellStyle name="Normal 30 4" xfId="4852" xr:uid="{00000000-0005-0000-0000-0000CE120000}"/>
    <cellStyle name="Normal 31" xfId="4853" xr:uid="{00000000-0005-0000-0000-0000CF120000}"/>
    <cellStyle name="Normal 31 2" xfId="4854" xr:uid="{00000000-0005-0000-0000-0000D0120000}"/>
    <cellStyle name="Normal 31 2 2" xfId="4855" xr:uid="{00000000-0005-0000-0000-0000D1120000}"/>
    <cellStyle name="Normal 31 2 2 2" xfId="4856" xr:uid="{00000000-0005-0000-0000-0000D2120000}"/>
    <cellStyle name="Normal 31 2 2 2 2" xfId="4857" xr:uid="{00000000-0005-0000-0000-0000D3120000}"/>
    <cellStyle name="Normal 31 2 2 2 2 2" xfId="4858" xr:uid="{00000000-0005-0000-0000-0000D4120000}"/>
    <cellStyle name="Normal 31 2 2 2 2 2 2" xfId="4859" xr:uid="{00000000-0005-0000-0000-0000D5120000}"/>
    <cellStyle name="Normal 31 2 2 2 2 3" xfId="4860" xr:uid="{00000000-0005-0000-0000-0000D6120000}"/>
    <cellStyle name="Normal 31 2 2 2 2 3 2" xfId="4861" xr:uid="{00000000-0005-0000-0000-0000D7120000}"/>
    <cellStyle name="Normal 31 2 2 2 2 4" xfId="4862" xr:uid="{00000000-0005-0000-0000-0000D8120000}"/>
    <cellStyle name="Normal 31 2 2 2 3" xfId="4863" xr:uid="{00000000-0005-0000-0000-0000D9120000}"/>
    <cellStyle name="Normal 31 2 2 2 3 2" xfId="4864" xr:uid="{00000000-0005-0000-0000-0000DA120000}"/>
    <cellStyle name="Normal 31 2 2 2 4" xfId="4865" xr:uid="{00000000-0005-0000-0000-0000DB120000}"/>
    <cellStyle name="Normal 31 2 2 2 4 2" xfId="4866" xr:uid="{00000000-0005-0000-0000-0000DC120000}"/>
    <cellStyle name="Normal 31 2 2 2 5" xfId="4867" xr:uid="{00000000-0005-0000-0000-0000DD120000}"/>
    <cellStyle name="Normal 31 2 2 3" xfId="4868" xr:uid="{00000000-0005-0000-0000-0000DE120000}"/>
    <cellStyle name="Normal 31 2 2 3 2" xfId="4869" xr:uid="{00000000-0005-0000-0000-0000DF120000}"/>
    <cellStyle name="Normal 31 2 2 3 2 2" xfId="4870" xr:uid="{00000000-0005-0000-0000-0000E0120000}"/>
    <cellStyle name="Normal 31 2 2 3 3" xfId="4871" xr:uid="{00000000-0005-0000-0000-0000E1120000}"/>
    <cellStyle name="Normal 31 2 2 3 3 2" xfId="4872" xr:uid="{00000000-0005-0000-0000-0000E2120000}"/>
    <cellStyle name="Normal 31 2 2 3 4" xfId="4873" xr:uid="{00000000-0005-0000-0000-0000E3120000}"/>
    <cellStyle name="Normal 31 2 2 4" xfId="4874" xr:uid="{00000000-0005-0000-0000-0000E4120000}"/>
    <cellStyle name="Normal 31 2 2 4 2" xfId="4875" xr:uid="{00000000-0005-0000-0000-0000E5120000}"/>
    <cellStyle name="Normal 31 2 2 5" xfId="4876" xr:uid="{00000000-0005-0000-0000-0000E6120000}"/>
    <cellStyle name="Normal 31 2 2 5 2" xfId="4877" xr:uid="{00000000-0005-0000-0000-0000E7120000}"/>
    <cellStyle name="Normal 31 2 2 6" xfId="4878" xr:uid="{00000000-0005-0000-0000-0000E8120000}"/>
    <cellStyle name="Normal 31 2 3" xfId="4879" xr:uid="{00000000-0005-0000-0000-0000E9120000}"/>
    <cellStyle name="Normal 31 2 3 2" xfId="4880" xr:uid="{00000000-0005-0000-0000-0000EA120000}"/>
    <cellStyle name="Normal 31 2 3 2 2" xfId="4881" xr:uid="{00000000-0005-0000-0000-0000EB120000}"/>
    <cellStyle name="Normal 31 2 3 2 2 2" xfId="4882" xr:uid="{00000000-0005-0000-0000-0000EC120000}"/>
    <cellStyle name="Normal 31 2 3 2 3" xfId="4883" xr:uid="{00000000-0005-0000-0000-0000ED120000}"/>
    <cellStyle name="Normal 31 2 3 2 3 2" xfId="4884" xr:uid="{00000000-0005-0000-0000-0000EE120000}"/>
    <cellStyle name="Normal 31 2 3 2 4" xfId="4885" xr:uid="{00000000-0005-0000-0000-0000EF120000}"/>
    <cellStyle name="Normal 31 2 3 3" xfId="4886" xr:uid="{00000000-0005-0000-0000-0000F0120000}"/>
    <cellStyle name="Normal 31 2 3 3 2" xfId="4887" xr:uid="{00000000-0005-0000-0000-0000F1120000}"/>
    <cellStyle name="Normal 31 2 3 4" xfId="4888" xr:uid="{00000000-0005-0000-0000-0000F2120000}"/>
    <cellStyle name="Normal 31 2 3 4 2" xfId="4889" xr:uid="{00000000-0005-0000-0000-0000F3120000}"/>
    <cellStyle name="Normal 31 2 3 5" xfId="4890" xr:uid="{00000000-0005-0000-0000-0000F4120000}"/>
    <cellStyle name="Normal 31 2 4" xfId="4891" xr:uid="{00000000-0005-0000-0000-0000F5120000}"/>
    <cellStyle name="Normal 31 2 4 2" xfId="4892" xr:uid="{00000000-0005-0000-0000-0000F6120000}"/>
    <cellStyle name="Normal 31 2 4 2 2" xfId="4893" xr:uid="{00000000-0005-0000-0000-0000F7120000}"/>
    <cellStyle name="Normal 31 2 4 3" xfId="4894" xr:uid="{00000000-0005-0000-0000-0000F8120000}"/>
    <cellStyle name="Normal 31 2 4 3 2" xfId="4895" xr:uid="{00000000-0005-0000-0000-0000F9120000}"/>
    <cellStyle name="Normal 31 2 4 4" xfId="4896" xr:uid="{00000000-0005-0000-0000-0000FA120000}"/>
    <cellStyle name="Normal 31 2 5" xfId="4897" xr:uid="{00000000-0005-0000-0000-0000FB120000}"/>
    <cellStyle name="Normal 31 2 5 2" xfId="4898" xr:uid="{00000000-0005-0000-0000-0000FC120000}"/>
    <cellStyle name="Normal 31 2 6" xfId="4899" xr:uid="{00000000-0005-0000-0000-0000FD120000}"/>
    <cellStyle name="Normal 31 2 6 2" xfId="4900" xr:uid="{00000000-0005-0000-0000-0000FE120000}"/>
    <cellStyle name="Normal 31 2 7" xfId="4901" xr:uid="{00000000-0005-0000-0000-0000FF120000}"/>
    <cellStyle name="Normal 31 3" xfId="4902" xr:uid="{00000000-0005-0000-0000-000000130000}"/>
    <cellStyle name="Normal 31 3 2" xfId="4903" xr:uid="{00000000-0005-0000-0000-000001130000}"/>
    <cellStyle name="Normal 31 3 2 2" xfId="4904" xr:uid="{00000000-0005-0000-0000-000002130000}"/>
    <cellStyle name="Normal 31 3 2 2 2" xfId="4905" xr:uid="{00000000-0005-0000-0000-000003130000}"/>
    <cellStyle name="Normal 31 3 2 2 2 2" xfId="4906" xr:uid="{00000000-0005-0000-0000-000004130000}"/>
    <cellStyle name="Normal 31 3 2 2 3" xfId="4907" xr:uid="{00000000-0005-0000-0000-000005130000}"/>
    <cellStyle name="Normal 31 3 2 2 3 2" xfId="4908" xr:uid="{00000000-0005-0000-0000-000006130000}"/>
    <cellStyle name="Normal 31 3 2 2 4" xfId="4909" xr:uid="{00000000-0005-0000-0000-000007130000}"/>
    <cellStyle name="Normal 31 3 2 3" xfId="4910" xr:uid="{00000000-0005-0000-0000-000008130000}"/>
    <cellStyle name="Normal 31 3 2 3 2" xfId="4911" xr:uid="{00000000-0005-0000-0000-000009130000}"/>
    <cellStyle name="Normal 31 3 2 4" xfId="4912" xr:uid="{00000000-0005-0000-0000-00000A130000}"/>
    <cellStyle name="Normal 31 3 2 4 2" xfId="4913" xr:uid="{00000000-0005-0000-0000-00000B130000}"/>
    <cellStyle name="Normal 31 3 2 5" xfId="4914" xr:uid="{00000000-0005-0000-0000-00000C130000}"/>
    <cellStyle name="Normal 31 3 3" xfId="4915" xr:uid="{00000000-0005-0000-0000-00000D130000}"/>
    <cellStyle name="Normal 31 3 3 2" xfId="4916" xr:uid="{00000000-0005-0000-0000-00000E130000}"/>
    <cellStyle name="Normal 31 3 3 2 2" xfId="4917" xr:uid="{00000000-0005-0000-0000-00000F130000}"/>
    <cellStyle name="Normal 31 3 3 3" xfId="4918" xr:uid="{00000000-0005-0000-0000-000010130000}"/>
    <cellStyle name="Normal 31 3 3 3 2" xfId="4919" xr:uid="{00000000-0005-0000-0000-000011130000}"/>
    <cellStyle name="Normal 31 3 3 4" xfId="4920" xr:uid="{00000000-0005-0000-0000-000012130000}"/>
    <cellStyle name="Normal 31 3 4" xfId="4921" xr:uid="{00000000-0005-0000-0000-000013130000}"/>
    <cellStyle name="Normal 31 3 4 2" xfId="4922" xr:uid="{00000000-0005-0000-0000-000014130000}"/>
    <cellStyle name="Normal 31 3 5" xfId="4923" xr:uid="{00000000-0005-0000-0000-000015130000}"/>
    <cellStyle name="Normal 31 3 5 2" xfId="4924" xr:uid="{00000000-0005-0000-0000-000016130000}"/>
    <cellStyle name="Normal 31 3 6" xfId="4925" xr:uid="{00000000-0005-0000-0000-000017130000}"/>
    <cellStyle name="Normal 31 4" xfId="4926" xr:uid="{00000000-0005-0000-0000-000018130000}"/>
    <cellStyle name="Normal 31 4 2" xfId="4927" xr:uid="{00000000-0005-0000-0000-000019130000}"/>
    <cellStyle name="Normal 31 4 2 2" xfId="4928" xr:uid="{00000000-0005-0000-0000-00001A130000}"/>
    <cellStyle name="Normal 31 4 2 2 2" xfId="4929" xr:uid="{00000000-0005-0000-0000-00001B130000}"/>
    <cellStyle name="Normal 31 4 2 3" xfId="4930" xr:uid="{00000000-0005-0000-0000-00001C130000}"/>
    <cellStyle name="Normal 31 4 2 3 2" xfId="4931" xr:uid="{00000000-0005-0000-0000-00001D130000}"/>
    <cellStyle name="Normal 31 4 2 4" xfId="4932" xr:uid="{00000000-0005-0000-0000-00001E130000}"/>
    <cellStyle name="Normal 31 4 3" xfId="4933" xr:uid="{00000000-0005-0000-0000-00001F130000}"/>
    <cellStyle name="Normal 31 4 3 2" xfId="4934" xr:uid="{00000000-0005-0000-0000-000020130000}"/>
    <cellStyle name="Normal 31 4 4" xfId="4935" xr:uid="{00000000-0005-0000-0000-000021130000}"/>
    <cellStyle name="Normal 31 4 4 2" xfId="4936" xr:uid="{00000000-0005-0000-0000-000022130000}"/>
    <cellStyle name="Normal 31 4 5" xfId="4937" xr:uid="{00000000-0005-0000-0000-000023130000}"/>
    <cellStyle name="Normal 31 5" xfId="4938" xr:uid="{00000000-0005-0000-0000-000024130000}"/>
    <cellStyle name="Normal 31 5 2" xfId="4939" xr:uid="{00000000-0005-0000-0000-000025130000}"/>
    <cellStyle name="Normal 31 5 2 2" xfId="4940" xr:uid="{00000000-0005-0000-0000-000026130000}"/>
    <cellStyle name="Normal 31 5 3" xfId="4941" xr:uid="{00000000-0005-0000-0000-000027130000}"/>
    <cellStyle name="Normal 31 5 3 2" xfId="4942" xr:uid="{00000000-0005-0000-0000-000028130000}"/>
    <cellStyle name="Normal 31 5 4" xfId="4943" xr:uid="{00000000-0005-0000-0000-000029130000}"/>
    <cellStyle name="Normal 31 6" xfId="4944" xr:uid="{00000000-0005-0000-0000-00002A130000}"/>
    <cellStyle name="Normal 31 6 2" xfId="4945" xr:uid="{00000000-0005-0000-0000-00002B130000}"/>
    <cellStyle name="Normal 31 7" xfId="4946" xr:uid="{00000000-0005-0000-0000-00002C130000}"/>
    <cellStyle name="Normal 31 7 2" xfId="4947" xr:uid="{00000000-0005-0000-0000-00002D130000}"/>
    <cellStyle name="Normal 31 8" xfId="4948" xr:uid="{00000000-0005-0000-0000-00002E130000}"/>
    <cellStyle name="Normal 32" xfId="4949" xr:uid="{00000000-0005-0000-0000-00002F130000}"/>
    <cellStyle name="Normal 32 2" xfId="4950" xr:uid="{00000000-0005-0000-0000-000030130000}"/>
    <cellStyle name="Normal 32 2 2" xfId="4951" xr:uid="{00000000-0005-0000-0000-000031130000}"/>
    <cellStyle name="Normal 32 2 2 2" xfId="4952" xr:uid="{00000000-0005-0000-0000-000032130000}"/>
    <cellStyle name="Normal 32 2 2 2 2" xfId="4953" xr:uid="{00000000-0005-0000-0000-000033130000}"/>
    <cellStyle name="Normal 32 2 2 2 2 2" xfId="4954" xr:uid="{00000000-0005-0000-0000-000034130000}"/>
    <cellStyle name="Normal 32 2 2 2 2 2 2" xfId="4955" xr:uid="{00000000-0005-0000-0000-000035130000}"/>
    <cellStyle name="Normal 32 2 2 2 2 3" xfId="4956" xr:uid="{00000000-0005-0000-0000-000036130000}"/>
    <cellStyle name="Normal 32 2 2 2 2 3 2" xfId="4957" xr:uid="{00000000-0005-0000-0000-000037130000}"/>
    <cellStyle name="Normal 32 2 2 2 2 4" xfId="4958" xr:uid="{00000000-0005-0000-0000-000038130000}"/>
    <cellStyle name="Normal 32 2 2 2 3" xfId="4959" xr:uid="{00000000-0005-0000-0000-000039130000}"/>
    <cellStyle name="Normal 32 2 2 2 3 2" xfId="4960" xr:uid="{00000000-0005-0000-0000-00003A130000}"/>
    <cellStyle name="Normal 32 2 2 2 4" xfId="4961" xr:uid="{00000000-0005-0000-0000-00003B130000}"/>
    <cellStyle name="Normal 32 2 2 2 4 2" xfId="4962" xr:uid="{00000000-0005-0000-0000-00003C130000}"/>
    <cellStyle name="Normal 32 2 2 2 5" xfId="4963" xr:uid="{00000000-0005-0000-0000-00003D130000}"/>
    <cellStyle name="Normal 32 2 2 3" xfId="4964" xr:uid="{00000000-0005-0000-0000-00003E130000}"/>
    <cellStyle name="Normal 32 2 2 3 2" xfId="4965" xr:uid="{00000000-0005-0000-0000-00003F130000}"/>
    <cellStyle name="Normal 32 2 2 3 2 2" xfId="4966" xr:uid="{00000000-0005-0000-0000-000040130000}"/>
    <cellStyle name="Normal 32 2 2 3 3" xfId="4967" xr:uid="{00000000-0005-0000-0000-000041130000}"/>
    <cellStyle name="Normal 32 2 2 3 3 2" xfId="4968" xr:uid="{00000000-0005-0000-0000-000042130000}"/>
    <cellStyle name="Normal 32 2 2 3 4" xfId="4969" xr:uid="{00000000-0005-0000-0000-000043130000}"/>
    <cellStyle name="Normal 32 2 2 4" xfId="4970" xr:uid="{00000000-0005-0000-0000-000044130000}"/>
    <cellStyle name="Normal 32 2 2 4 2" xfId="4971" xr:uid="{00000000-0005-0000-0000-000045130000}"/>
    <cellStyle name="Normal 32 2 2 5" xfId="4972" xr:uid="{00000000-0005-0000-0000-000046130000}"/>
    <cellStyle name="Normal 32 2 2 5 2" xfId="4973" xr:uid="{00000000-0005-0000-0000-000047130000}"/>
    <cellStyle name="Normal 32 2 2 6" xfId="4974" xr:uid="{00000000-0005-0000-0000-000048130000}"/>
    <cellStyle name="Normal 32 2 3" xfId="4975" xr:uid="{00000000-0005-0000-0000-000049130000}"/>
    <cellStyle name="Normal 32 2 3 2" xfId="4976" xr:uid="{00000000-0005-0000-0000-00004A130000}"/>
    <cellStyle name="Normal 32 2 3 2 2" xfId="4977" xr:uid="{00000000-0005-0000-0000-00004B130000}"/>
    <cellStyle name="Normal 32 2 3 2 2 2" xfId="4978" xr:uid="{00000000-0005-0000-0000-00004C130000}"/>
    <cellStyle name="Normal 32 2 3 2 3" xfId="4979" xr:uid="{00000000-0005-0000-0000-00004D130000}"/>
    <cellStyle name="Normal 32 2 3 2 3 2" xfId="4980" xr:uid="{00000000-0005-0000-0000-00004E130000}"/>
    <cellStyle name="Normal 32 2 3 2 4" xfId="4981" xr:uid="{00000000-0005-0000-0000-00004F130000}"/>
    <cellStyle name="Normal 32 2 3 3" xfId="4982" xr:uid="{00000000-0005-0000-0000-000050130000}"/>
    <cellStyle name="Normal 32 2 3 3 2" xfId="4983" xr:uid="{00000000-0005-0000-0000-000051130000}"/>
    <cellStyle name="Normal 32 2 3 4" xfId="4984" xr:uid="{00000000-0005-0000-0000-000052130000}"/>
    <cellStyle name="Normal 32 2 3 4 2" xfId="4985" xr:uid="{00000000-0005-0000-0000-000053130000}"/>
    <cellStyle name="Normal 32 2 3 5" xfId="4986" xr:uid="{00000000-0005-0000-0000-000054130000}"/>
    <cellStyle name="Normal 32 2 4" xfId="4987" xr:uid="{00000000-0005-0000-0000-000055130000}"/>
    <cellStyle name="Normal 32 2 4 2" xfId="4988" xr:uid="{00000000-0005-0000-0000-000056130000}"/>
    <cellStyle name="Normal 32 2 4 2 2" xfId="4989" xr:uid="{00000000-0005-0000-0000-000057130000}"/>
    <cellStyle name="Normal 32 2 4 3" xfId="4990" xr:uid="{00000000-0005-0000-0000-000058130000}"/>
    <cellStyle name="Normal 32 2 4 3 2" xfId="4991" xr:uid="{00000000-0005-0000-0000-000059130000}"/>
    <cellStyle name="Normal 32 2 4 4" xfId="4992" xr:uid="{00000000-0005-0000-0000-00005A130000}"/>
    <cellStyle name="Normal 32 2 5" xfId="4993" xr:uid="{00000000-0005-0000-0000-00005B130000}"/>
    <cellStyle name="Normal 32 2 5 2" xfId="4994" xr:uid="{00000000-0005-0000-0000-00005C130000}"/>
    <cellStyle name="Normal 32 2 6" xfId="4995" xr:uid="{00000000-0005-0000-0000-00005D130000}"/>
    <cellStyle name="Normal 32 2 6 2" xfId="4996" xr:uid="{00000000-0005-0000-0000-00005E130000}"/>
    <cellStyle name="Normal 32 2 7" xfId="4997" xr:uid="{00000000-0005-0000-0000-00005F130000}"/>
    <cellStyle name="Normal 32 3" xfId="4998" xr:uid="{00000000-0005-0000-0000-000060130000}"/>
    <cellStyle name="Normal 32 3 2" xfId="4999" xr:uid="{00000000-0005-0000-0000-000061130000}"/>
    <cellStyle name="Normal 32 3 2 2" xfId="5000" xr:uid="{00000000-0005-0000-0000-000062130000}"/>
    <cellStyle name="Normal 32 3 2 2 2" xfId="5001" xr:uid="{00000000-0005-0000-0000-000063130000}"/>
    <cellStyle name="Normal 32 3 2 2 2 2" xfId="5002" xr:uid="{00000000-0005-0000-0000-000064130000}"/>
    <cellStyle name="Normal 32 3 2 2 3" xfId="5003" xr:uid="{00000000-0005-0000-0000-000065130000}"/>
    <cellStyle name="Normal 32 3 2 2 3 2" xfId="5004" xr:uid="{00000000-0005-0000-0000-000066130000}"/>
    <cellStyle name="Normal 32 3 2 2 4" xfId="5005" xr:uid="{00000000-0005-0000-0000-000067130000}"/>
    <cellStyle name="Normal 32 3 2 3" xfId="5006" xr:uid="{00000000-0005-0000-0000-000068130000}"/>
    <cellStyle name="Normal 32 3 2 3 2" xfId="5007" xr:uid="{00000000-0005-0000-0000-000069130000}"/>
    <cellStyle name="Normal 32 3 2 4" xfId="5008" xr:uid="{00000000-0005-0000-0000-00006A130000}"/>
    <cellStyle name="Normal 32 3 2 4 2" xfId="5009" xr:uid="{00000000-0005-0000-0000-00006B130000}"/>
    <cellStyle name="Normal 32 3 2 5" xfId="5010" xr:uid="{00000000-0005-0000-0000-00006C130000}"/>
    <cellStyle name="Normal 32 3 3" xfId="5011" xr:uid="{00000000-0005-0000-0000-00006D130000}"/>
    <cellStyle name="Normal 32 3 3 2" xfId="5012" xr:uid="{00000000-0005-0000-0000-00006E130000}"/>
    <cellStyle name="Normal 32 3 3 2 2" xfId="5013" xr:uid="{00000000-0005-0000-0000-00006F130000}"/>
    <cellStyle name="Normal 32 3 3 3" xfId="5014" xr:uid="{00000000-0005-0000-0000-000070130000}"/>
    <cellStyle name="Normal 32 3 3 3 2" xfId="5015" xr:uid="{00000000-0005-0000-0000-000071130000}"/>
    <cellStyle name="Normal 32 3 3 4" xfId="5016" xr:uid="{00000000-0005-0000-0000-000072130000}"/>
    <cellStyle name="Normal 32 3 4" xfId="5017" xr:uid="{00000000-0005-0000-0000-000073130000}"/>
    <cellStyle name="Normal 32 3 4 2" xfId="5018" xr:uid="{00000000-0005-0000-0000-000074130000}"/>
    <cellStyle name="Normal 32 3 5" xfId="5019" xr:uid="{00000000-0005-0000-0000-000075130000}"/>
    <cellStyle name="Normal 32 3 5 2" xfId="5020" xr:uid="{00000000-0005-0000-0000-000076130000}"/>
    <cellStyle name="Normal 32 3 6" xfId="5021" xr:uid="{00000000-0005-0000-0000-000077130000}"/>
    <cellStyle name="Normal 32 4" xfId="5022" xr:uid="{00000000-0005-0000-0000-000078130000}"/>
    <cellStyle name="Normal 32 4 2" xfId="5023" xr:uid="{00000000-0005-0000-0000-000079130000}"/>
    <cellStyle name="Normal 32 4 2 2" xfId="5024" xr:uid="{00000000-0005-0000-0000-00007A130000}"/>
    <cellStyle name="Normal 32 4 2 2 2" xfId="5025" xr:uid="{00000000-0005-0000-0000-00007B130000}"/>
    <cellStyle name="Normal 32 4 2 3" xfId="5026" xr:uid="{00000000-0005-0000-0000-00007C130000}"/>
    <cellStyle name="Normal 32 4 2 3 2" xfId="5027" xr:uid="{00000000-0005-0000-0000-00007D130000}"/>
    <cellStyle name="Normal 32 4 2 4" xfId="5028" xr:uid="{00000000-0005-0000-0000-00007E130000}"/>
    <cellStyle name="Normal 32 4 3" xfId="5029" xr:uid="{00000000-0005-0000-0000-00007F130000}"/>
    <cellStyle name="Normal 32 4 3 2" xfId="5030" xr:uid="{00000000-0005-0000-0000-000080130000}"/>
    <cellStyle name="Normal 32 4 4" xfId="5031" xr:uid="{00000000-0005-0000-0000-000081130000}"/>
    <cellStyle name="Normal 32 4 4 2" xfId="5032" xr:uid="{00000000-0005-0000-0000-000082130000}"/>
    <cellStyle name="Normal 32 4 5" xfId="5033" xr:uid="{00000000-0005-0000-0000-000083130000}"/>
    <cellStyle name="Normal 32 5" xfId="5034" xr:uid="{00000000-0005-0000-0000-000084130000}"/>
    <cellStyle name="Normal 32 5 2" xfId="5035" xr:uid="{00000000-0005-0000-0000-000085130000}"/>
    <cellStyle name="Normal 32 5 2 2" xfId="5036" xr:uid="{00000000-0005-0000-0000-000086130000}"/>
    <cellStyle name="Normal 32 5 3" xfId="5037" xr:uid="{00000000-0005-0000-0000-000087130000}"/>
    <cellStyle name="Normal 32 5 3 2" xfId="5038" xr:uid="{00000000-0005-0000-0000-000088130000}"/>
    <cellStyle name="Normal 32 5 4" xfId="5039" xr:uid="{00000000-0005-0000-0000-000089130000}"/>
    <cellStyle name="Normal 32 6" xfId="5040" xr:uid="{00000000-0005-0000-0000-00008A130000}"/>
    <cellStyle name="Normal 32 6 2" xfId="5041" xr:uid="{00000000-0005-0000-0000-00008B130000}"/>
    <cellStyle name="Normal 32 7" xfId="5042" xr:uid="{00000000-0005-0000-0000-00008C130000}"/>
    <cellStyle name="Normal 32 7 2" xfId="5043" xr:uid="{00000000-0005-0000-0000-00008D130000}"/>
    <cellStyle name="Normal 32 8" xfId="5044" xr:uid="{00000000-0005-0000-0000-00008E130000}"/>
    <cellStyle name="Normal 33" xfId="5045" xr:uid="{00000000-0005-0000-0000-00008F130000}"/>
    <cellStyle name="Normal 33 2" xfId="5046" xr:uid="{00000000-0005-0000-0000-000090130000}"/>
    <cellStyle name="Normal 33 3" xfId="5047" xr:uid="{00000000-0005-0000-0000-000091130000}"/>
    <cellStyle name="Normal 34" xfId="5048" xr:uid="{00000000-0005-0000-0000-000092130000}"/>
    <cellStyle name="Normal 34 2" xfId="5049" xr:uid="{00000000-0005-0000-0000-000093130000}"/>
    <cellStyle name="Normal 34 3" xfId="5050" xr:uid="{00000000-0005-0000-0000-000094130000}"/>
    <cellStyle name="Normal 35" xfId="5051" xr:uid="{00000000-0005-0000-0000-000095130000}"/>
    <cellStyle name="Normal 35 2" xfId="5052" xr:uid="{00000000-0005-0000-0000-000096130000}"/>
    <cellStyle name="Normal 35 2 2" xfId="5053" xr:uid="{00000000-0005-0000-0000-000097130000}"/>
    <cellStyle name="Normal 35 2 2 2" xfId="5054" xr:uid="{00000000-0005-0000-0000-000098130000}"/>
    <cellStyle name="Normal 35 2 2 2 2" xfId="5055" xr:uid="{00000000-0005-0000-0000-000099130000}"/>
    <cellStyle name="Normal 35 2 2 2 2 2" xfId="5056" xr:uid="{00000000-0005-0000-0000-00009A130000}"/>
    <cellStyle name="Normal 35 2 2 2 3" xfId="5057" xr:uid="{00000000-0005-0000-0000-00009B130000}"/>
    <cellStyle name="Normal 35 2 2 2 3 2" xfId="5058" xr:uid="{00000000-0005-0000-0000-00009C130000}"/>
    <cellStyle name="Normal 35 2 2 2 4" xfId="5059" xr:uid="{00000000-0005-0000-0000-00009D130000}"/>
    <cellStyle name="Normal 35 2 2 3" xfId="5060" xr:uid="{00000000-0005-0000-0000-00009E130000}"/>
    <cellStyle name="Normal 35 2 2 3 2" xfId="5061" xr:uid="{00000000-0005-0000-0000-00009F130000}"/>
    <cellStyle name="Normal 35 2 2 4" xfId="5062" xr:uid="{00000000-0005-0000-0000-0000A0130000}"/>
    <cellStyle name="Normal 35 2 2 4 2" xfId="5063" xr:uid="{00000000-0005-0000-0000-0000A1130000}"/>
    <cellStyle name="Normal 35 2 2 5" xfId="5064" xr:uid="{00000000-0005-0000-0000-0000A2130000}"/>
    <cellStyle name="Normal 35 2 3" xfId="5065" xr:uid="{00000000-0005-0000-0000-0000A3130000}"/>
    <cellStyle name="Normal 35 2 3 2" xfId="5066" xr:uid="{00000000-0005-0000-0000-0000A4130000}"/>
    <cellStyle name="Normal 35 2 3 2 2" xfId="5067" xr:uid="{00000000-0005-0000-0000-0000A5130000}"/>
    <cellStyle name="Normal 35 2 3 3" xfId="5068" xr:uid="{00000000-0005-0000-0000-0000A6130000}"/>
    <cellStyle name="Normal 35 2 3 3 2" xfId="5069" xr:uid="{00000000-0005-0000-0000-0000A7130000}"/>
    <cellStyle name="Normal 35 2 3 4" xfId="5070" xr:uid="{00000000-0005-0000-0000-0000A8130000}"/>
    <cellStyle name="Normal 35 2 4" xfId="5071" xr:uid="{00000000-0005-0000-0000-0000A9130000}"/>
    <cellStyle name="Normal 35 2 4 2" xfId="5072" xr:uid="{00000000-0005-0000-0000-0000AA130000}"/>
    <cellStyle name="Normal 35 2 5" xfId="5073" xr:uid="{00000000-0005-0000-0000-0000AB130000}"/>
    <cellStyle name="Normal 35 2 5 2" xfId="5074" xr:uid="{00000000-0005-0000-0000-0000AC130000}"/>
    <cellStyle name="Normal 35 2 6" xfId="5075" xr:uid="{00000000-0005-0000-0000-0000AD130000}"/>
    <cellStyle name="Normal 35 3" xfId="5076" xr:uid="{00000000-0005-0000-0000-0000AE130000}"/>
    <cellStyle name="Normal 35 3 2" xfId="5077" xr:uid="{00000000-0005-0000-0000-0000AF130000}"/>
    <cellStyle name="Normal 35 3 2 2" xfId="5078" xr:uid="{00000000-0005-0000-0000-0000B0130000}"/>
    <cellStyle name="Normal 35 3 2 2 2" xfId="5079" xr:uid="{00000000-0005-0000-0000-0000B1130000}"/>
    <cellStyle name="Normal 35 3 2 3" xfId="5080" xr:uid="{00000000-0005-0000-0000-0000B2130000}"/>
    <cellStyle name="Normal 35 3 2 3 2" xfId="5081" xr:uid="{00000000-0005-0000-0000-0000B3130000}"/>
    <cellStyle name="Normal 35 3 2 4" xfId="5082" xr:uid="{00000000-0005-0000-0000-0000B4130000}"/>
    <cellStyle name="Normal 35 3 3" xfId="5083" xr:uid="{00000000-0005-0000-0000-0000B5130000}"/>
    <cellStyle name="Normal 35 3 3 2" xfId="5084" xr:uid="{00000000-0005-0000-0000-0000B6130000}"/>
    <cellStyle name="Normal 35 3 4" xfId="5085" xr:uid="{00000000-0005-0000-0000-0000B7130000}"/>
    <cellStyle name="Normal 35 3 4 2" xfId="5086" xr:uid="{00000000-0005-0000-0000-0000B8130000}"/>
    <cellStyle name="Normal 35 3 5" xfId="5087" xr:uid="{00000000-0005-0000-0000-0000B9130000}"/>
    <cellStyle name="Normal 35 4" xfId="5088" xr:uid="{00000000-0005-0000-0000-0000BA130000}"/>
    <cellStyle name="Normal 35 4 2" xfId="5089" xr:uid="{00000000-0005-0000-0000-0000BB130000}"/>
    <cellStyle name="Normal 35 4 2 2" xfId="5090" xr:uid="{00000000-0005-0000-0000-0000BC130000}"/>
    <cellStyle name="Normal 35 4 3" xfId="5091" xr:uid="{00000000-0005-0000-0000-0000BD130000}"/>
    <cellStyle name="Normal 35 4 3 2" xfId="5092" xr:uid="{00000000-0005-0000-0000-0000BE130000}"/>
    <cellStyle name="Normal 35 4 4" xfId="5093" xr:uid="{00000000-0005-0000-0000-0000BF130000}"/>
    <cellStyle name="Normal 35 5" xfId="5094" xr:uid="{00000000-0005-0000-0000-0000C0130000}"/>
    <cellStyle name="Normal 35 5 2" xfId="5095" xr:uid="{00000000-0005-0000-0000-0000C1130000}"/>
    <cellStyle name="Normal 35 6" xfId="5096" xr:uid="{00000000-0005-0000-0000-0000C2130000}"/>
    <cellStyle name="Normal 35 6 2" xfId="5097" xr:uid="{00000000-0005-0000-0000-0000C3130000}"/>
    <cellStyle name="Normal 35 7" xfId="5098" xr:uid="{00000000-0005-0000-0000-0000C4130000}"/>
    <cellStyle name="Normal 36" xfId="5099" xr:uid="{00000000-0005-0000-0000-0000C5130000}"/>
    <cellStyle name="Normal 36 2" xfId="5100" xr:uid="{00000000-0005-0000-0000-0000C6130000}"/>
    <cellStyle name="Normal 36 2 2" xfId="5101" xr:uid="{00000000-0005-0000-0000-0000C7130000}"/>
    <cellStyle name="Normal 36 2 2 2" xfId="5102" xr:uid="{00000000-0005-0000-0000-0000C8130000}"/>
    <cellStyle name="Normal 36 2 2 2 2" xfId="5103" xr:uid="{00000000-0005-0000-0000-0000C9130000}"/>
    <cellStyle name="Normal 36 2 2 2 2 2" xfId="5104" xr:uid="{00000000-0005-0000-0000-0000CA130000}"/>
    <cellStyle name="Normal 36 2 2 2 3" xfId="5105" xr:uid="{00000000-0005-0000-0000-0000CB130000}"/>
    <cellStyle name="Normal 36 2 2 2 3 2" xfId="5106" xr:uid="{00000000-0005-0000-0000-0000CC130000}"/>
    <cellStyle name="Normal 36 2 2 2 4" xfId="5107" xr:uid="{00000000-0005-0000-0000-0000CD130000}"/>
    <cellStyle name="Normal 36 2 2 3" xfId="5108" xr:uid="{00000000-0005-0000-0000-0000CE130000}"/>
    <cellStyle name="Normal 36 2 2 3 2" xfId="5109" xr:uid="{00000000-0005-0000-0000-0000CF130000}"/>
    <cellStyle name="Normal 36 2 2 4" xfId="5110" xr:uid="{00000000-0005-0000-0000-0000D0130000}"/>
    <cellStyle name="Normal 36 2 2 4 2" xfId="5111" xr:uid="{00000000-0005-0000-0000-0000D1130000}"/>
    <cellStyle name="Normal 36 2 2 5" xfId="5112" xr:uid="{00000000-0005-0000-0000-0000D2130000}"/>
    <cellStyle name="Normal 36 2 3" xfId="5113" xr:uid="{00000000-0005-0000-0000-0000D3130000}"/>
    <cellStyle name="Normal 36 2 3 2" xfId="5114" xr:uid="{00000000-0005-0000-0000-0000D4130000}"/>
    <cellStyle name="Normal 36 2 3 2 2" xfId="5115" xr:uid="{00000000-0005-0000-0000-0000D5130000}"/>
    <cellStyle name="Normal 36 2 3 3" xfId="5116" xr:uid="{00000000-0005-0000-0000-0000D6130000}"/>
    <cellStyle name="Normal 36 2 3 3 2" xfId="5117" xr:uid="{00000000-0005-0000-0000-0000D7130000}"/>
    <cellStyle name="Normal 36 2 3 4" xfId="5118" xr:uid="{00000000-0005-0000-0000-0000D8130000}"/>
    <cellStyle name="Normal 36 2 4" xfId="5119" xr:uid="{00000000-0005-0000-0000-0000D9130000}"/>
    <cellStyle name="Normal 36 2 4 2" xfId="5120" xr:uid="{00000000-0005-0000-0000-0000DA130000}"/>
    <cellStyle name="Normal 36 2 5" xfId="5121" xr:uid="{00000000-0005-0000-0000-0000DB130000}"/>
    <cellStyle name="Normal 36 2 5 2" xfId="5122" xr:uid="{00000000-0005-0000-0000-0000DC130000}"/>
    <cellStyle name="Normal 36 2 6" xfId="5123" xr:uid="{00000000-0005-0000-0000-0000DD130000}"/>
    <cellStyle name="Normal 36 3" xfId="5124" xr:uid="{00000000-0005-0000-0000-0000DE130000}"/>
    <cellStyle name="Normal 36 3 2" xfId="5125" xr:uid="{00000000-0005-0000-0000-0000DF130000}"/>
    <cellStyle name="Normal 36 3 2 2" xfId="5126" xr:uid="{00000000-0005-0000-0000-0000E0130000}"/>
    <cellStyle name="Normal 36 3 2 2 2" xfId="5127" xr:uid="{00000000-0005-0000-0000-0000E1130000}"/>
    <cellStyle name="Normal 36 3 2 3" xfId="5128" xr:uid="{00000000-0005-0000-0000-0000E2130000}"/>
    <cellStyle name="Normal 36 3 2 3 2" xfId="5129" xr:uid="{00000000-0005-0000-0000-0000E3130000}"/>
    <cellStyle name="Normal 36 3 2 4" xfId="5130" xr:uid="{00000000-0005-0000-0000-0000E4130000}"/>
    <cellStyle name="Normal 36 3 3" xfId="5131" xr:uid="{00000000-0005-0000-0000-0000E5130000}"/>
    <cellStyle name="Normal 36 3 3 2" xfId="5132" xr:uid="{00000000-0005-0000-0000-0000E6130000}"/>
    <cellStyle name="Normal 36 3 4" xfId="5133" xr:uid="{00000000-0005-0000-0000-0000E7130000}"/>
    <cellStyle name="Normal 36 3 4 2" xfId="5134" xr:uid="{00000000-0005-0000-0000-0000E8130000}"/>
    <cellStyle name="Normal 36 3 5" xfId="5135" xr:uid="{00000000-0005-0000-0000-0000E9130000}"/>
    <cellStyle name="Normal 36 4" xfId="5136" xr:uid="{00000000-0005-0000-0000-0000EA130000}"/>
    <cellStyle name="Normal 36 4 2" xfId="5137" xr:uid="{00000000-0005-0000-0000-0000EB130000}"/>
    <cellStyle name="Normal 36 4 2 2" xfId="5138" xr:uid="{00000000-0005-0000-0000-0000EC130000}"/>
    <cellStyle name="Normal 36 4 3" xfId="5139" xr:uid="{00000000-0005-0000-0000-0000ED130000}"/>
    <cellStyle name="Normal 36 4 3 2" xfId="5140" xr:uid="{00000000-0005-0000-0000-0000EE130000}"/>
    <cellStyle name="Normal 36 4 4" xfId="5141" xr:uid="{00000000-0005-0000-0000-0000EF130000}"/>
    <cellStyle name="Normal 36 5" xfId="5142" xr:uid="{00000000-0005-0000-0000-0000F0130000}"/>
    <cellStyle name="Normal 36 5 2" xfId="5143" xr:uid="{00000000-0005-0000-0000-0000F1130000}"/>
    <cellStyle name="Normal 36 6" xfId="5144" xr:uid="{00000000-0005-0000-0000-0000F2130000}"/>
    <cellStyle name="Normal 36 6 2" xfId="5145" xr:uid="{00000000-0005-0000-0000-0000F3130000}"/>
    <cellStyle name="Normal 36 7" xfId="5146" xr:uid="{00000000-0005-0000-0000-0000F4130000}"/>
    <cellStyle name="Normal 37" xfId="5147" xr:uid="{00000000-0005-0000-0000-0000F5130000}"/>
    <cellStyle name="Normal 37 2" xfId="5148" xr:uid="{00000000-0005-0000-0000-0000F6130000}"/>
    <cellStyle name="Normal 37 2 2" xfId="5149" xr:uid="{00000000-0005-0000-0000-0000F7130000}"/>
    <cellStyle name="Normal 37 2 2 2" xfId="5150" xr:uid="{00000000-0005-0000-0000-0000F8130000}"/>
    <cellStyle name="Normal 37 2 2 2 2" xfId="5151" xr:uid="{00000000-0005-0000-0000-0000F9130000}"/>
    <cellStyle name="Normal 37 2 2 2 2 2" xfId="5152" xr:uid="{00000000-0005-0000-0000-0000FA130000}"/>
    <cellStyle name="Normal 37 2 2 2 3" xfId="5153" xr:uid="{00000000-0005-0000-0000-0000FB130000}"/>
    <cellStyle name="Normal 37 2 2 2 3 2" xfId="5154" xr:uid="{00000000-0005-0000-0000-0000FC130000}"/>
    <cellStyle name="Normal 37 2 2 2 4" xfId="5155" xr:uid="{00000000-0005-0000-0000-0000FD130000}"/>
    <cellStyle name="Normal 37 2 2 3" xfId="5156" xr:uid="{00000000-0005-0000-0000-0000FE130000}"/>
    <cellStyle name="Normal 37 2 2 3 2" xfId="5157" xr:uid="{00000000-0005-0000-0000-0000FF130000}"/>
    <cellStyle name="Normal 37 2 2 4" xfId="5158" xr:uid="{00000000-0005-0000-0000-000000140000}"/>
    <cellStyle name="Normal 37 2 2 4 2" xfId="5159" xr:uid="{00000000-0005-0000-0000-000001140000}"/>
    <cellStyle name="Normal 37 2 2 5" xfId="5160" xr:uid="{00000000-0005-0000-0000-000002140000}"/>
    <cellStyle name="Normal 37 2 3" xfId="5161" xr:uid="{00000000-0005-0000-0000-000003140000}"/>
    <cellStyle name="Normal 37 2 3 2" xfId="5162" xr:uid="{00000000-0005-0000-0000-000004140000}"/>
    <cellStyle name="Normal 37 2 3 2 2" xfId="5163" xr:uid="{00000000-0005-0000-0000-000005140000}"/>
    <cellStyle name="Normal 37 2 3 3" xfId="5164" xr:uid="{00000000-0005-0000-0000-000006140000}"/>
    <cellStyle name="Normal 37 2 3 3 2" xfId="5165" xr:uid="{00000000-0005-0000-0000-000007140000}"/>
    <cellStyle name="Normal 37 2 3 4" xfId="5166" xr:uid="{00000000-0005-0000-0000-000008140000}"/>
    <cellStyle name="Normal 37 2 4" xfId="5167" xr:uid="{00000000-0005-0000-0000-000009140000}"/>
    <cellStyle name="Normal 37 2 4 2" xfId="5168" xr:uid="{00000000-0005-0000-0000-00000A140000}"/>
    <cellStyle name="Normal 37 2 5" xfId="5169" xr:uid="{00000000-0005-0000-0000-00000B140000}"/>
    <cellStyle name="Normal 37 2 5 2" xfId="5170" xr:uid="{00000000-0005-0000-0000-00000C140000}"/>
    <cellStyle name="Normal 37 2 6" xfId="5171" xr:uid="{00000000-0005-0000-0000-00000D140000}"/>
    <cellStyle name="Normal 37 3" xfId="5172" xr:uid="{00000000-0005-0000-0000-00000E140000}"/>
    <cellStyle name="Normal 37 3 2" xfId="5173" xr:uid="{00000000-0005-0000-0000-00000F140000}"/>
    <cellStyle name="Normal 37 3 2 2" xfId="5174" xr:uid="{00000000-0005-0000-0000-000010140000}"/>
    <cellStyle name="Normal 37 3 2 2 2" xfId="5175" xr:uid="{00000000-0005-0000-0000-000011140000}"/>
    <cellStyle name="Normal 37 3 2 3" xfId="5176" xr:uid="{00000000-0005-0000-0000-000012140000}"/>
    <cellStyle name="Normal 37 3 2 3 2" xfId="5177" xr:uid="{00000000-0005-0000-0000-000013140000}"/>
    <cellStyle name="Normal 37 3 2 4" xfId="5178" xr:uid="{00000000-0005-0000-0000-000014140000}"/>
    <cellStyle name="Normal 37 3 3" xfId="5179" xr:uid="{00000000-0005-0000-0000-000015140000}"/>
    <cellStyle name="Normal 37 3 3 2" xfId="5180" xr:uid="{00000000-0005-0000-0000-000016140000}"/>
    <cellStyle name="Normal 37 3 4" xfId="5181" xr:uid="{00000000-0005-0000-0000-000017140000}"/>
    <cellStyle name="Normal 37 3 4 2" xfId="5182" xr:uid="{00000000-0005-0000-0000-000018140000}"/>
    <cellStyle name="Normal 37 3 5" xfId="5183" xr:uid="{00000000-0005-0000-0000-000019140000}"/>
    <cellStyle name="Normal 37 4" xfId="5184" xr:uid="{00000000-0005-0000-0000-00001A140000}"/>
    <cellStyle name="Normal 37 4 2" xfId="5185" xr:uid="{00000000-0005-0000-0000-00001B140000}"/>
    <cellStyle name="Normal 37 4 2 2" xfId="5186" xr:uid="{00000000-0005-0000-0000-00001C140000}"/>
    <cellStyle name="Normal 37 4 3" xfId="5187" xr:uid="{00000000-0005-0000-0000-00001D140000}"/>
    <cellStyle name="Normal 37 4 3 2" xfId="5188" xr:uid="{00000000-0005-0000-0000-00001E140000}"/>
    <cellStyle name="Normal 37 4 4" xfId="5189" xr:uid="{00000000-0005-0000-0000-00001F140000}"/>
    <cellStyle name="Normal 37 5" xfId="5190" xr:uid="{00000000-0005-0000-0000-000020140000}"/>
    <cellStyle name="Normal 37 5 2" xfId="5191" xr:uid="{00000000-0005-0000-0000-000021140000}"/>
    <cellStyle name="Normal 37 6" xfId="5192" xr:uid="{00000000-0005-0000-0000-000022140000}"/>
    <cellStyle name="Normal 37 6 2" xfId="5193" xr:uid="{00000000-0005-0000-0000-000023140000}"/>
    <cellStyle name="Normal 37 7" xfId="5194" xr:uid="{00000000-0005-0000-0000-000024140000}"/>
    <cellStyle name="Normal 38" xfId="5195" xr:uid="{00000000-0005-0000-0000-000025140000}"/>
    <cellStyle name="Normal 38 2" xfId="5196" xr:uid="{00000000-0005-0000-0000-000026140000}"/>
    <cellStyle name="Normal 38 2 2" xfId="5197" xr:uid="{00000000-0005-0000-0000-000027140000}"/>
    <cellStyle name="Normal 38 2 2 2" xfId="5198" xr:uid="{00000000-0005-0000-0000-000028140000}"/>
    <cellStyle name="Normal 38 2 2 2 2" xfId="5199" xr:uid="{00000000-0005-0000-0000-000029140000}"/>
    <cellStyle name="Normal 38 2 2 2 2 2" xfId="5200" xr:uid="{00000000-0005-0000-0000-00002A140000}"/>
    <cellStyle name="Normal 38 2 2 2 3" xfId="5201" xr:uid="{00000000-0005-0000-0000-00002B140000}"/>
    <cellStyle name="Normal 38 2 2 2 3 2" xfId="5202" xr:uid="{00000000-0005-0000-0000-00002C140000}"/>
    <cellStyle name="Normal 38 2 2 2 4" xfId="5203" xr:uid="{00000000-0005-0000-0000-00002D140000}"/>
    <cellStyle name="Normal 38 2 2 3" xfId="5204" xr:uid="{00000000-0005-0000-0000-00002E140000}"/>
    <cellStyle name="Normal 38 2 2 3 2" xfId="5205" xr:uid="{00000000-0005-0000-0000-00002F140000}"/>
    <cellStyle name="Normal 38 2 2 4" xfId="5206" xr:uid="{00000000-0005-0000-0000-000030140000}"/>
    <cellStyle name="Normal 38 2 2 4 2" xfId="5207" xr:uid="{00000000-0005-0000-0000-000031140000}"/>
    <cellStyle name="Normal 38 2 2 5" xfId="5208" xr:uid="{00000000-0005-0000-0000-000032140000}"/>
    <cellStyle name="Normal 38 2 3" xfId="5209" xr:uid="{00000000-0005-0000-0000-000033140000}"/>
    <cellStyle name="Normal 38 2 3 2" xfId="5210" xr:uid="{00000000-0005-0000-0000-000034140000}"/>
    <cellStyle name="Normal 38 2 3 2 2" xfId="5211" xr:uid="{00000000-0005-0000-0000-000035140000}"/>
    <cellStyle name="Normal 38 2 3 3" xfId="5212" xr:uid="{00000000-0005-0000-0000-000036140000}"/>
    <cellStyle name="Normal 38 2 3 3 2" xfId="5213" xr:uid="{00000000-0005-0000-0000-000037140000}"/>
    <cellStyle name="Normal 38 2 3 4" xfId="5214" xr:uid="{00000000-0005-0000-0000-000038140000}"/>
    <cellStyle name="Normal 38 2 4" xfId="5215" xr:uid="{00000000-0005-0000-0000-000039140000}"/>
    <cellStyle name="Normal 38 2 4 2" xfId="5216" xr:uid="{00000000-0005-0000-0000-00003A140000}"/>
    <cellStyle name="Normal 38 2 5" xfId="5217" xr:uid="{00000000-0005-0000-0000-00003B140000}"/>
    <cellStyle name="Normal 38 2 5 2" xfId="5218" xr:uid="{00000000-0005-0000-0000-00003C140000}"/>
    <cellStyle name="Normal 38 2 6" xfId="5219" xr:uid="{00000000-0005-0000-0000-00003D140000}"/>
    <cellStyle name="Normal 38 3" xfId="5220" xr:uid="{00000000-0005-0000-0000-00003E140000}"/>
    <cellStyle name="Normal 38 3 2" xfId="5221" xr:uid="{00000000-0005-0000-0000-00003F140000}"/>
    <cellStyle name="Normal 38 3 2 2" xfId="5222" xr:uid="{00000000-0005-0000-0000-000040140000}"/>
    <cellStyle name="Normal 38 3 2 2 2" xfId="5223" xr:uid="{00000000-0005-0000-0000-000041140000}"/>
    <cellStyle name="Normal 38 3 2 3" xfId="5224" xr:uid="{00000000-0005-0000-0000-000042140000}"/>
    <cellStyle name="Normal 38 3 2 3 2" xfId="5225" xr:uid="{00000000-0005-0000-0000-000043140000}"/>
    <cellStyle name="Normal 38 3 2 4" xfId="5226" xr:uid="{00000000-0005-0000-0000-000044140000}"/>
    <cellStyle name="Normal 38 3 3" xfId="5227" xr:uid="{00000000-0005-0000-0000-000045140000}"/>
    <cellStyle name="Normal 38 3 3 2" xfId="5228" xr:uid="{00000000-0005-0000-0000-000046140000}"/>
    <cellStyle name="Normal 38 3 4" xfId="5229" xr:uid="{00000000-0005-0000-0000-000047140000}"/>
    <cellStyle name="Normal 38 3 4 2" xfId="5230" xr:uid="{00000000-0005-0000-0000-000048140000}"/>
    <cellStyle name="Normal 38 3 5" xfId="5231" xr:uid="{00000000-0005-0000-0000-000049140000}"/>
    <cellStyle name="Normal 38 4" xfId="5232" xr:uid="{00000000-0005-0000-0000-00004A140000}"/>
    <cellStyle name="Normal 38 4 2" xfId="5233" xr:uid="{00000000-0005-0000-0000-00004B140000}"/>
    <cellStyle name="Normal 38 4 2 2" xfId="5234" xr:uid="{00000000-0005-0000-0000-00004C140000}"/>
    <cellStyle name="Normal 38 4 3" xfId="5235" xr:uid="{00000000-0005-0000-0000-00004D140000}"/>
    <cellStyle name="Normal 38 4 3 2" xfId="5236" xr:uid="{00000000-0005-0000-0000-00004E140000}"/>
    <cellStyle name="Normal 38 4 4" xfId="5237" xr:uid="{00000000-0005-0000-0000-00004F140000}"/>
    <cellStyle name="Normal 38 5" xfId="5238" xr:uid="{00000000-0005-0000-0000-000050140000}"/>
    <cellStyle name="Normal 38 5 2" xfId="5239" xr:uid="{00000000-0005-0000-0000-000051140000}"/>
    <cellStyle name="Normal 38 6" xfId="5240" xr:uid="{00000000-0005-0000-0000-000052140000}"/>
    <cellStyle name="Normal 38 6 2" xfId="5241" xr:uid="{00000000-0005-0000-0000-000053140000}"/>
    <cellStyle name="Normal 38 7" xfId="5242" xr:uid="{00000000-0005-0000-0000-000054140000}"/>
    <cellStyle name="Normal 39" xfId="5243" xr:uid="{00000000-0005-0000-0000-000055140000}"/>
    <cellStyle name="Normal 39 2" xfId="5244" xr:uid="{00000000-0005-0000-0000-000056140000}"/>
    <cellStyle name="Normal 39 2 2" xfId="5245" xr:uid="{00000000-0005-0000-0000-000057140000}"/>
    <cellStyle name="Normal 39 2 2 2" xfId="5246" xr:uid="{00000000-0005-0000-0000-000058140000}"/>
    <cellStyle name="Normal 39 2 2 2 2" xfId="5247" xr:uid="{00000000-0005-0000-0000-000059140000}"/>
    <cellStyle name="Normal 39 2 2 2 2 2" xfId="5248" xr:uid="{00000000-0005-0000-0000-00005A140000}"/>
    <cellStyle name="Normal 39 2 2 2 3" xfId="5249" xr:uid="{00000000-0005-0000-0000-00005B140000}"/>
    <cellStyle name="Normal 39 2 2 2 3 2" xfId="5250" xr:uid="{00000000-0005-0000-0000-00005C140000}"/>
    <cellStyle name="Normal 39 2 2 2 4" xfId="5251" xr:uid="{00000000-0005-0000-0000-00005D140000}"/>
    <cellStyle name="Normal 39 2 2 3" xfId="5252" xr:uid="{00000000-0005-0000-0000-00005E140000}"/>
    <cellStyle name="Normal 39 2 2 3 2" xfId="5253" xr:uid="{00000000-0005-0000-0000-00005F140000}"/>
    <cellStyle name="Normal 39 2 2 4" xfId="5254" xr:uid="{00000000-0005-0000-0000-000060140000}"/>
    <cellStyle name="Normal 39 2 2 4 2" xfId="5255" xr:uid="{00000000-0005-0000-0000-000061140000}"/>
    <cellStyle name="Normal 39 2 2 5" xfId="5256" xr:uid="{00000000-0005-0000-0000-000062140000}"/>
    <cellStyle name="Normal 39 2 3" xfId="5257" xr:uid="{00000000-0005-0000-0000-000063140000}"/>
    <cellStyle name="Normal 39 2 3 2" xfId="5258" xr:uid="{00000000-0005-0000-0000-000064140000}"/>
    <cellStyle name="Normal 39 2 3 2 2" xfId="5259" xr:uid="{00000000-0005-0000-0000-000065140000}"/>
    <cellStyle name="Normal 39 2 3 3" xfId="5260" xr:uid="{00000000-0005-0000-0000-000066140000}"/>
    <cellStyle name="Normal 39 2 3 3 2" xfId="5261" xr:uid="{00000000-0005-0000-0000-000067140000}"/>
    <cellStyle name="Normal 39 2 3 4" xfId="5262" xr:uid="{00000000-0005-0000-0000-000068140000}"/>
    <cellStyle name="Normal 39 2 4" xfId="5263" xr:uid="{00000000-0005-0000-0000-000069140000}"/>
    <cellStyle name="Normal 39 2 4 2" xfId="5264" xr:uid="{00000000-0005-0000-0000-00006A140000}"/>
    <cellStyle name="Normal 39 2 5" xfId="5265" xr:uid="{00000000-0005-0000-0000-00006B140000}"/>
    <cellStyle name="Normal 39 2 5 2" xfId="5266" xr:uid="{00000000-0005-0000-0000-00006C140000}"/>
    <cellStyle name="Normal 39 2 6" xfId="5267" xr:uid="{00000000-0005-0000-0000-00006D140000}"/>
    <cellStyle name="Normal 39 3" xfId="5268" xr:uid="{00000000-0005-0000-0000-00006E140000}"/>
    <cellStyle name="Normal 39 3 2" xfId="5269" xr:uid="{00000000-0005-0000-0000-00006F140000}"/>
    <cellStyle name="Normal 39 3 2 2" xfId="5270" xr:uid="{00000000-0005-0000-0000-000070140000}"/>
    <cellStyle name="Normal 39 3 2 2 2" xfId="5271" xr:uid="{00000000-0005-0000-0000-000071140000}"/>
    <cellStyle name="Normal 39 3 2 3" xfId="5272" xr:uid="{00000000-0005-0000-0000-000072140000}"/>
    <cellStyle name="Normal 39 3 2 3 2" xfId="5273" xr:uid="{00000000-0005-0000-0000-000073140000}"/>
    <cellStyle name="Normal 39 3 2 4" xfId="5274" xr:uid="{00000000-0005-0000-0000-000074140000}"/>
    <cellStyle name="Normal 39 3 3" xfId="5275" xr:uid="{00000000-0005-0000-0000-000075140000}"/>
    <cellStyle name="Normal 39 3 3 2" xfId="5276" xr:uid="{00000000-0005-0000-0000-000076140000}"/>
    <cellStyle name="Normal 39 3 4" xfId="5277" xr:uid="{00000000-0005-0000-0000-000077140000}"/>
    <cellStyle name="Normal 39 3 4 2" xfId="5278" xr:uid="{00000000-0005-0000-0000-000078140000}"/>
    <cellStyle name="Normal 39 3 5" xfId="5279" xr:uid="{00000000-0005-0000-0000-000079140000}"/>
    <cellStyle name="Normal 39 4" xfId="5280" xr:uid="{00000000-0005-0000-0000-00007A140000}"/>
    <cellStyle name="Normal 39 4 2" xfId="5281" xr:uid="{00000000-0005-0000-0000-00007B140000}"/>
    <cellStyle name="Normal 39 4 2 2" xfId="5282" xr:uid="{00000000-0005-0000-0000-00007C140000}"/>
    <cellStyle name="Normal 39 4 3" xfId="5283" xr:uid="{00000000-0005-0000-0000-00007D140000}"/>
    <cellStyle name="Normal 39 4 3 2" xfId="5284" xr:uid="{00000000-0005-0000-0000-00007E140000}"/>
    <cellStyle name="Normal 39 4 4" xfId="5285" xr:uid="{00000000-0005-0000-0000-00007F140000}"/>
    <cellStyle name="Normal 39 5" xfId="5286" xr:uid="{00000000-0005-0000-0000-000080140000}"/>
    <cellStyle name="Normal 39 5 2" xfId="5287" xr:uid="{00000000-0005-0000-0000-000081140000}"/>
    <cellStyle name="Normal 39 6" xfId="5288" xr:uid="{00000000-0005-0000-0000-000082140000}"/>
    <cellStyle name="Normal 39 6 2" xfId="5289" xr:uid="{00000000-0005-0000-0000-000083140000}"/>
    <cellStyle name="Normal 39 7" xfId="5290" xr:uid="{00000000-0005-0000-0000-000084140000}"/>
    <cellStyle name="Normal 4" xfId="99" xr:uid="{00000000-0005-0000-0000-000085140000}"/>
    <cellStyle name="Normal 4 2" xfId="5292" xr:uid="{00000000-0005-0000-0000-000086140000}"/>
    <cellStyle name="Normal 4 2 2" xfId="5293" xr:uid="{00000000-0005-0000-0000-000087140000}"/>
    <cellStyle name="Normal 4 2 2 2" xfId="5294" xr:uid="{00000000-0005-0000-0000-000088140000}"/>
    <cellStyle name="Normal 4 2 2 2 2" xfId="5295" xr:uid="{00000000-0005-0000-0000-000089140000}"/>
    <cellStyle name="Normal 4 2 2 2 2 2" xfId="5296" xr:uid="{00000000-0005-0000-0000-00008A140000}"/>
    <cellStyle name="Normal 4 2 2 2 3" xfId="5297" xr:uid="{00000000-0005-0000-0000-00008B140000}"/>
    <cellStyle name="Normal 4 2 2 2 3 2" xfId="5298" xr:uid="{00000000-0005-0000-0000-00008C140000}"/>
    <cellStyle name="Normal 4 2 2 2 4" xfId="5299" xr:uid="{00000000-0005-0000-0000-00008D140000}"/>
    <cellStyle name="Normal 4 2 2 3" xfId="5300" xr:uid="{00000000-0005-0000-0000-00008E140000}"/>
    <cellStyle name="Normal 4 2 2 3 2" xfId="5301" xr:uid="{00000000-0005-0000-0000-00008F140000}"/>
    <cellStyle name="Normal 4 2 2 4" xfId="5302" xr:uid="{00000000-0005-0000-0000-000090140000}"/>
    <cellStyle name="Normal 4 2 2 4 2" xfId="5303" xr:uid="{00000000-0005-0000-0000-000091140000}"/>
    <cellStyle name="Normal 4 2 2 5" xfId="5304" xr:uid="{00000000-0005-0000-0000-000092140000}"/>
    <cellStyle name="Normal 4 2 3" xfId="5305" xr:uid="{00000000-0005-0000-0000-000093140000}"/>
    <cellStyle name="Normal 4 2 3 2" xfId="5306" xr:uid="{00000000-0005-0000-0000-000094140000}"/>
    <cellStyle name="Normal 4 2 3 2 2" xfId="5307" xr:uid="{00000000-0005-0000-0000-000095140000}"/>
    <cellStyle name="Normal 4 2 3 3" xfId="5308" xr:uid="{00000000-0005-0000-0000-000096140000}"/>
    <cellStyle name="Normal 4 2 3 3 2" xfId="5309" xr:uid="{00000000-0005-0000-0000-000097140000}"/>
    <cellStyle name="Normal 4 2 3 4" xfId="5310" xr:uid="{00000000-0005-0000-0000-000098140000}"/>
    <cellStyle name="Normal 4 2 4" xfId="5311" xr:uid="{00000000-0005-0000-0000-000099140000}"/>
    <cellStyle name="Normal 4 2 4 2" xfId="5312" xr:uid="{00000000-0005-0000-0000-00009A140000}"/>
    <cellStyle name="Normal 4 2 5" xfId="5313" xr:uid="{00000000-0005-0000-0000-00009B140000}"/>
    <cellStyle name="Normal 4 2 5 2" xfId="5314" xr:uid="{00000000-0005-0000-0000-00009C140000}"/>
    <cellStyle name="Normal 4 2 6" xfId="5315" xr:uid="{00000000-0005-0000-0000-00009D140000}"/>
    <cellStyle name="Normal 4 3" xfId="5316" xr:uid="{00000000-0005-0000-0000-00009E140000}"/>
    <cellStyle name="Normal 4 3 2" xfId="5317" xr:uid="{00000000-0005-0000-0000-00009F140000}"/>
    <cellStyle name="Normal 4 3 2 2" xfId="5318" xr:uid="{00000000-0005-0000-0000-0000A0140000}"/>
    <cellStyle name="Normal 4 3 2 3" xfId="5319" xr:uid="{00000000-0005-0000-0000-0000A1140000}"/>
    <cellStyle name="Normal 4 3 3" xfId="5320" xr:uid="{00000000-0005-0000-0000-0000A2140000}"/>
    <cellStyle name="Normal 4 3 4" xfId="5321" xr:uid="{00000000-0005-0000-0000-0000A3140000}"/>
    <cellStyle name="Normal 4 3 5" xfId="5322" xr:uid="{00000000-0005-0000-0000-0000A4140000}"/>
    <cellStyle name="Normal 4 4" xfId="5323" xr:uid="{00000000-0005-0000-0000-0000A5140000}"/>
    <cellStyle name="Normal 4 4 2" xfId="5324" xr:uid="{00000000-0005-0000-0000-0000A6140000}"/>
    <cellStyle name="Normal 4 5" xfId="5325" xr:uid="{00000000-0005-0000-0000-0000A7140000}"/>
    <cellStyle name="Normal 4 6" xfId="5291" xr:uid="{00000000-0005-0000-0000-0000A8140000}"/>
    <cellStyle name="Normal 4_2180" xfId="5326" xr:uid="{00000000-0005-0000-0000-0000A9140000}"/>
    <cellStyle name="Normal 40" xfId="5327" xr:uid="{00000000-0005-0000-0000-0000AA140000}"/>
    <cellStyle name="Normal 40 2" xfId="5328" xr:uid="{00000000-0005-0000-0000-0000AB140000}"/>
    <cellStyle name="Normal 40 2 2" xfId="5329" xr:uid="{00000000-0005-0000-0000-0000AC140000}"/>
    <cellStyle name="Normal 40 2 2 2" xfId="5330" xr:uid="{00000000-0005-0000-0000-0000AD140000}"/>
    <cellStyle name="Normal 40 2 2 2 2" xfId="5331" xr:uid="{00000000-0005-0000-0000-0000AE140000}"/>
    <cellStyle name="Normal 40 2 2 2 2 2" xfId="5332" xr:uid="{00000000-0005-0000-0000-0000AF140000}"/>
    <cellStyle name="Normal 40 2 2 2 3" xfId="5333" xr:uid="{00000000-0005-0000-0000-0000B0140000}"/>
    <cellStyle name="Normal 40 2 2 2 3 2" xfId="5334" xr:uid="{00000000-0005-0000-0000-0000B1140000}"/>
    <cellStyle name="Normal 40 2 2 2 4" xfId="5335" xr:uid="{00000000-0005-0000-0000-0000B2140000}"/>
    <cellStyle name="Normal 40 2 2 3" xfId="5336" xr:uid="{00000000-0005-0000-0000-0000B3140000}"/>
    <cellStyle name="Normal 40 2 2 3 2" xfId="5337" xr:uid="{00000000-0005-0000-0000-0000B4140000}"/>
    <cellStyle name="Normal 40 2 2 4" xfId="5338" xr:uid="{00000000-0005-0000-0000-0000B5140000}"/>
    <cellStyle name="Normal 40 2 2 4 2" xfId="5339" xr:uid="{00000000-0005-0000-0000-0000B6140000}"/>
    <cellStyle name="Normal 40 2 2 5" xfId="5340" xr:uid="{00000000-0005-0000-0000-0000B7140000}"/>
    <cellStyle name="Normal 40 2 3" xfId="5341" xr:uid="{00000000-0005-0000-0000-0000B8140000}"/>
    <cellStyle name="Normal 40 2 3 2" xfId="5342" xr:uid="{00000000-0005-0000-0000-0000B9140000}"/>
    <cellStyle name="Normal 40 2 3 2 2" xfId="5343" xr:uid="{00000000-0005-0000-0000-0000BA140000}"/>
    <cellStyle name="Normal 40 2 3 3" xfId="5344" xr:uid="{00000000-0005-0000-0000-0000BB140000}"/>
    <cellStyle name="Normal 40 2 3 3 2" xfId="5345" xr:uid="{00000000-0005-0000-0000-0000BC140000}"/>
    <cellStyle name="Normal 40 2 3 4" xfId="5346" xr:uid="{00000000-0005-0000-0000-0000BD140000}"/>
    <cellStyle name="Normal 40 2 4" xfId="5347" xr:uid="{00000000-0005-0000-0000-0000BE140000}"/>
    <cellStyle name="Normal 40 2 4 2" xfId="5348" xr:uid="{00000000-0005-0000-0000-0000BF140000}"/>
    <cellStyle name="Normal 40 2 5" xfId="5349" xr:uid="{00000000-0005-0000-0000-0000C0140000}"/>
    <cellStyle name="Normal 40 2 5 2" xfId="5350" xr:uid="{00000000-0005-0000-0000-0000C1140000}"/>
    <cellStyle name="Normal 40 2 6" xfId="5351" xr:uid="{00000000-0005-0000-0000-0000C2140000}"/>
    <cellStyle name="Normal 40 3" xfId="5352" xr:uid="{00000000-0005-0000-0000-0000C3140000}"/>
    <cellStyle name="Normal 40 3 2" xfId="5353" xr:uid="{00000000-0005-0000-0000-0000C4140000}"/>
    <cellStyle name="Normal 40 3 2 2" xfId="5354" xr:uid="{00000000-0005-0000-0000-0000C5140000}"/>
    <cellStyle name="Normal 40 3 2 2 2" xfId="5355" xr:uid="{00000000-0005-0000-0000-0000C6140000}"/>
    <cellStyle name="Normal 40 3 2 3" xfId="5356" xr:uid="{00000000-0005-0000-0000-0000C7140000}"/>
    <cellStyle name="Normal 40 3 2 3 2" xfId="5357" xr:uid="{00000000-0005-0000-0000-0000C8140000}"/>
    <cellStyle name="Normal 40 3 2 4" xfId="5358" xr:uid="{00000000-0005-0000-0000-0000C9140000}"/>
    <cellStyle name="Normal 40 3 3" xfId="5359" xr:uid="{00000000-0005-0000-0000-0000CA140000}"/>
    <cellStyle name="Normal 40 3 3 2" xfId="5360" xr:uid="{00000000-0005-0000-0000-0000CB140000}"/>
    <cellStyle name="Normal 40 3 4" xfId="5361" xr:uid="{00000000-0005-0000-0000-0000CC140000}"/>
    <cellStyle name="Normal 40 3 4 2" xfId="5362" xr:uid="{00000000-0005-0000-0000-0000CD140000}"/>
    <cellStyle name="Normal 40 3 5" xfId="5363" xr:uid="{00000000-0005-0000-0000-0000CE140000}"/>
    <cellStyle name="Normal 40 4" xfId="5364" xr:uid="{00000000-0005-0000-0000-0000CF140000}"/>
    <cellStyle name="Normal 40 4 2" xfId="5365" xr:uid="{00000000-0005-0000-0000-0000D0140000}"/>
    <cellStyle name="Normal 40 4 2 2" xfId="5366" xr:uid="{00000000-0005-0000-0000-0000D1140000}"/>
    <cellStyle name="Normal 40 4 3" xfId="5367" xr:uid="{00000000-0005-0000-0000-0000D2140000}"/>
    <cellStyle name="Normal 40 4 3 2" xfId="5368" xr:uid="{00000000-0005-0000-0000-0000D3140000}"/>
    <cellStyle name="Normal 40 4 4" xfId="5369" xr:uid="{00000000-0005-0000-0000-0000D4140000}"/>
    <cellStyle name="Normal 40 5" xfId="5370" xr:uid="{00000000-0005-0000-0000-0000D5140000}"/>
    <cellStyle name="Normal 40 5 2" xfId="5371" xr:uid="{00000000-0005-0000-0000-0000D6140000}"/>
    <cellStyle name="Normal 40 6" xfId="5372" xr:uid="{00000000-0005-0000-0000-0000D7140000}"/>
    <cellStyle name="Normal 40 6 2" xfId="5373" xr:uid="{00000000-0005-0000-0000-0000D8140000}"/>
    <cellStyle name="Normal 40 7" xfId="5374" xr:uid="{00000000-0005-0000-0000-0000D9140000}"/>
    <cellStyle name="Normal 41" xfId="5375" xr:uid="{00000000-0005-0000-0000-0000DA140000}"/>
    <cellStyle name="Normal 41 2" xfId="5376" xr:uid="{00000000-0005-0000-0000-0000DB140000}"/>
    <cellStyle name="Normal 41 2 2" xfId="5377" xr:uid="{00000000-0005-0000-0000-0000DC140000}"/>
    <cellStyle name="Normal 41 2 2 2" xfId="5378" xr:uid="{00000000-0005-0000-0000-0000DD140000}"/>
    <cellStyle name="Normal 41 2 2 2 2" xfId="5379" xr:uid="{00000000-0005-0000-0000-0000DE140000}"/>
    <cellStyle name="Normal 41 2 2 2 2 2" xfId="5380" xr:uid="{00000000-0005-0000-0000-0000DF140000}"/>
    <cellStyle name="Normal 41 2 2 2 3" xfId="5381" xr:uid="{00000000-0005-0000-0000-0000E0140000}"/>
    <cellStyle name="Normal 41 2 2 2 3 2" xfId="5382" xr:uid="{00000000-0005-0000-0000-0000E1140000}"/>
    <cellStyle name="Normal 41 2 2 2 4" xfId="5383" xr:uid="{00000000-0005-0000-0000-0000E2140000}"/>
    <cellStyle name="Normal 41 2 2 3" xfId="5384" xr:uid="{00000000-0005-0000-0000-0000E3140000}"/>
    <cellStyle name="Normal 41 2 2 3 2" xfId="5385" xr:uid="{00000000-0005-0000-0000-0000E4140000}"/>
    <cellStyle name="Normal 41 2 2 4" xfId="5386" xr:uid="{00000000-0005-0000-0000-0000E5140000}"/>
    <cellStyle name="Normal 41 2 2 4 2" xfId="5387" xr:uid="{00000000-0005-0000-0000-0000E6140000}"/>
    <cellStyle name="Normal 41 2 2 5" xfId="5388" xr:uid="{00000000-0005-0000-0000-0000E7140000}"/>
    <cellStyle name="Normal 41 2 3" xfId="5389" xr:uid="{00000000-0005-0000-0000-0000E8140000}"/>
    <cellStyle name="Normal 41 2 3 2" xfId="5390" xr:uid="{00000000-0005-0000-0000-0000E9140000}"/>
    <cellStyle name="Normal 41 2 3 2 2" xfId="5391" xr:uid="{00000000-0005-0000-0000-0000EA140000}"/>
    <cellStyle name="Normal 41 2 3 3" xfId="5392" xr:uid="{00000000-0005-0000-0000-0000EB140000}"/>
    <cellStyle name="Normal 41 2 3 3 2" xfId="5393" xr:uid="{00000000-0005-0000-0000-0000EC140000}"/>
    <cellStyle name="Normal 41 2 3 4" xfId="5394" xr:uid="{00000000-0005-0000-0000-0000ED140000}"/>
    <cellStyle name="Normal 41 2 4" xfId="5395" xr:uid="{00000000-0005-0000-0000-0000EE140000}"/>
    <cellStyle name="Normal 41 2 4 2" xfId="5396" xr:uid="{00000000-0005-0000-0000-0000EF140000}"/>
    <cellStyle name="Normal 41 2 5" xfId="5397" xr:uid="{00000000-0005-0000-0000-0000F0140000}"/>
    <cellStyle name="Normal 41 2 5 2" xfId="5398" xr:uid="{00000000-0005-0000-0000-0000F1140000}"/>
    <cellStyle name="Normal 41 2 6" xfId="5399" xr:uid="{00000000-0005-0000-0000-0000F2140000}"/>
    <cellStyle name="Normal 41 3" xfId="5400" xr:uid="{00000000-0005-0000-0000-0000F3140000}"/>
    <cellStyle name="Normal 41 3 2" xfId="5401" xr:uid="{00000000-0005-0000-0000-0000F4140000}"/>
    <cellStyle name="Normal 41 3 2 2" xfId="5402" xr:uid="{00000000-0005-0000-0000-0000F5140000}"/>
    <cellStyle name="Normal 41 3 2 2 2" xfId="5403" xr:uid="{00000000-0005-0000-0000-0000F6140000}"/>
    <cellStyle name="Normal 41 3 2 3" xfId="5404" xr:uid="{00000000-0005-0000-0000-0000F7140000}"/>
    <cellStyle name="Normal 41 3 2 3 2" xfId="5405" xr:uid="{00000000-0005-0000-0000-0000F8140000}"/>
    <cellStyle name="Normal 41 3 2 4" xfId="5406" xr:uid="{00000000-0005-0000-0000-0000F9140000}"/>
    <cellStyle name="Normal 41 3 3" xfId="5407" xr:uid="{00000000-0005-0000-0000-0000FA140000}"/>
    <cellStyle name="Normal 41 3 3 2" xfId="5408" xr:uid="{00000000-0005-0000-0000-0000FB140000}"/>
    <cellStyle name="Normal 41 3 4" xfId="5409" xr:uid="{00000000-0005-0000-0000-0000FC140000}"/>
    <cellStyle name="Normal 41 3 4 2" xfId="5410" xr:uid="{00000000-0005-0000-0000-0000FD140000}"/>
    <cellStyle name="Normal 41 3 5" xfId="5411" xr:uid="{00000000-0005-0000-0000-0000FE140000}"/>
    <cellStyle name="Normal 41 4" xfId="5412" xr:uid="{00000000-0005-0000-0000-0000FF140000}"/>
    <cellStyle name="Normal 41 4 2" xfId="5413" xr:uid="{00000000-0005-0000-0000-000000150000}"/>
    <cellStyle name="Normal 41 4 2 2" xfId="5414" xr:uid="{00000000-0005-0000-0000-000001150000}"/>
    <cellStyle name="Normal 41 4 3" xfId="5415" xr:uid="{00000000-0005-0000-0000-000002150000}"/>
    <cellStyle name="Normal 41 4 3 2" xfId="5416" xr:uid="{00000000-0005-0000-0000-000003150000}"/>
    <cellStyle name="Normal 41 4 4" xfId="5417" xr:uid="{00000000-0005-0000-0000-000004150000}"/>
    <cellStyle name="Normal 41 5" xfId="5418" xr:uid="{00000000-0005-0000-0000-000005150000}"/>
    <cellStyle name="Normal 41 5 2" xfId="5419" xr:uid="{00000000-0005-0000-0000-000006150000}"/>
    <cellStyle name="Normal 41 6" xfId="5420" xr:uid="{00000000-0005-0000-0000-000007150000}"/>
    <cellStyle name="Normal 41 6 2" xfId="5421" xr:uid="{00000000-0005-0000-0000-000008150000}"/>
    <cellStyle name="Normal 41 7" xfId="5422" xr:uid="{00000000-0005-0000-0000-000009150000}"/>
    <cellStyle name="Normal 42" xfId="5423" xr:uid="{00000000-0005-0000-0000-00000A150000}"/>
    <cellStyle name="Normal 42 2" xfId="5424" xr:uid="{00000000-0005-0000-0000-00000B150000}"/>
    <cellStyle name="Normal 42 3" xfId="5425" xr:uid="{00000000-0005-0000-0000-00000C150000}"/>
    <cellStyle name="Normal 43" xfId="5426" xr:uid="{00000000-0005-0000-0000-00000D150000}"/>
    <cellStyle name="Normal 43 2" xfId="5427" xr:uid="{00000000-0005-0000-0000-00000E150000}"/>
    <cellStyle name="Normal 43 2 2" xfId="5428" xr:uid="{00000000-0005-0000-0000-00000F150000}"/>
    <cellStyle name="Normal 43 2 2 2" xfId="5429" xr:uid="{00000000-0005-0000-0000-000010150000}"/>
    <cellStyle name="Normal 43 2 2 2 2" xfId="5430" xr:uid="{00000000-0005-0000-0000-000011150000}"/>
    <cellStyle name="Normal 43 2 2 2 2 2" xfId="5431" xr:uid="{00000000-0005-0000-0000-000012150000}"/>
    <cellStyle name="Normal 43 2 2 2 3" xfId="5432" xr:uid="{00000000-0005-0000-0000-000013150000}"/>
    <cellStyle name="Normal 43 2 2 2 3 2" xfId="5433" xr:uid="{00000000-0005-0000-0000-000014150000}"/>
    <cellStyle name="Normal 43 2 2 2 4" xfId="5434" xr:uid="{00000000-0005-0000-0000-000015150000}"/>
    <cellStyle name="Normal 43 2 2 3" xfId="5435" xr:uid="{00000000-0005-0000-0000-000016150000}"/>
    <cellStyle name="Normal 43 2 2 3 2" xfId="5436" xr:uid="{00000000-0005-0000-0000-000017150000}"/>
    <cellStyle name="Normal 43 2 2 4" xfId="5437" xr:uid="{00000000-0005-0000-0000-000018150000}"/>
    <cellStyle name="Normal 43 2 2 4 2" xfId="5438" xr:uid="{00000000-0005-0000-0000-000019150000}"/>
    <cellStyle name="Normal 43 2 2 5" xfId="5439" xr:uid="{00000000-0005-0000-0000-00001A150000}"/>
    <cellStyle name="Normal 43 2 3" xfId="5440" xr:uid="{00000000-0005-0000-0000-00001B150000}"/>
    <cellStyle name="Normal 43 2 3 2" xfId="5441" xr:uid="{00000000-0005-0000-0000-00001C150000}"/>
    <cellStyle name="Normal 43 2 3 2 2" xfId="5442" xr:uid="{00000000-0005-0000-0000-00001D150000}"/>
    <cellStyle name="Normal 43 2 3 3" xfId="5443" xr:uid="{00000000-0005-0000-0000-00001E150000}"/>
    <cellStyle name="Normal 43 2 3 3 2" xfId="5444" xr:uid="{00000000-0005-0000-0000-00001F150000}"/>
    <cellStyle name="Normal 43 2 3 4" xfId="5445" xr:uid="{00000000-0005-0000-0000-000020150000}"/>
    <cellStyle name="Normal 43 2 4" xfId="5446" xr:uid="{00000000-0005-0000-0000-000021150000}"/>
    <cellStyle name="Normal 43 2 4 2" xfId="5447" xr:uid="{00000000-0005-0000-0000-000022150000}"/>
    <cellStyle name="Normal 43 2 5" xfId="5448" xr:uid="{00000000-0005-0000-0000-000023150000}"/>
    <cellStyle name="Normal 43 2 5 2" xfId="5449" xr:uid="{00000000-0005-0000-0000-000024150000}"/>
    <cellStyle name="Normal 43 2 6" xfId="5450" xr:uid="{00000000-0005-0000-0000-000025150000}"/>
    <cellStyle name="Normal 43 3" xfId="5451" xr:uid="{00000000-0005-0000-0000-000026150000}"/>
    <cellStyle name="Normal 44" xfId="5452" xr:uid="{00000000-0005-0000-0000-000027150000}"/>
    <cellStyle name="Normal 44 2" xfId="5453" xr:uid="{00000000-0005-0000-0000-000028150000}"/>
    <cellStyle name="Normal 44 2 2" xfId="5454" xr:uid="{00000000-0005-0000-0000-000029150000}"/>
    <cellStyle name="Normal 44 2 2 2" xfId="5455" xr:uid="{00000000-0005-0000-0000-00002A150000}"/>
    <cellStyle name="Normal 44 2 2 2 2" xfId="5456" xr:uid="{00000000-0005-0000-0000-00002B150000}"/>
    <cellStyle name="Normal 44 2 2 2 2 2" xfId="5457" xr:uid="{00000000-0005-0000-0000-00002C150000}"/>
    <cellStyle name="Normal 44 2 2 2 3" xfId="5458" xr:uid="{00000000-0005-0000-0000-00002D150000}"/>
    <cellStyle name="Normal 44 2 2 2 3 2" xfId="5459" xr:uid="{00000000-0005-0000-0000-00002E150000}"/>
    <cellStyle name="Normal 44 2 2 2 4" xfId="5460" xr:uid="{00000000-0005-0000-0000-00002F150000}"/>
    <cellStyle name="Normal 44 2 2 3" xfId="5461" xr:uid="{00000000-0005-0000-0000-000030150000}"/>
    <cellStyle name="Normal 44 2 2 3 2" xfId="5462" xr:uid="{00000000-0005-0000-0000-000031150000}"/>
    <cellStyle name="Normal 44 2 2 4" xfId="5463" xr:uid="{00000000-0005-0000-0000-000032150000}"/>
    <cellStyle name="Normal 44 2 2 4 2" xfId="5464" xr:uid="{00000000-0005-0000-0000-000033150000}"/>
    <cellStyle name="Normal 44 2 2 5" xfId="5465" xr:uid="{00000000-0005-0000-0000-000034150000}"/>
    <cellStyle name="Normal 44 2 3" xfId="5466" xr:uid="{00000000-0005-0000-0000-000035150000}"/>
    <cellStyle name="Normal 44 2 3 2" xfId="5467" xr:uid="{00000000-0005-0000-0000-000036150000}"/>
    <cellStyle name="Normal 44 2 3 2 2" xfId="5468" xr:uid="{00000000-0005-0000-0000-000037150000}"/>
    <cellStyle name="Normal 44 2 3 3" xfId="5469" xr:uid="{00000000-0005-0000-0000-000038150000}"/>
    <cellStyle name="Normal 44 2 3 3 2" xfId="5470" xr:uid="{00000000-0005-0000-0000-000039150000}"/>
    <cellStyle name="Normal 44 2 3 4" xfId="5471" xr:uid="{00000000-0005-0000-0000-00003A150000}"/>
    <cellStyle name="Normal 44 2 4" xfId="5472" xr:uid="{00000000-0005-0000-0000-00003B150000}"/>
    <cellStyle name="Normal 44 2 4 2" xfId="5473" xr:uid="{00000000-0005-0000-0000-00003C150000}"/>
    <cellStyle name="Normal 44 2 5" xfId="5474" xr:uid="{00000000-0005-0000-0000-00003D150000}"/>
    <cellStyle name="Normal 44 2 5 2" xfId="5475" xr:uid="{00000000-0005-0000-0000-00003E150000}"/>
    <cellStyle name="Normal 44 2 6" xfId="5476" xr:uid="{00000000-0005-0000-0000-00003F150000}"/>
    <cellStyle name="Normal 44 3" xfId="5477" xr:uid="{00000000-0005-0000-0000-000040150000}"/>
    <cellStyle name="Normal 44 3 2" xfId="5478" xr:uid="{00000000-0005-0000-0000-000041150000}"/>
    <cellStyle name="Normal 44 3 2 2" xfId="5479" xr:uid="{00000000-0005-0000-0000-000042150000}"/>
    <cellStyle name="Normal 44 3 2 2 2" xfId="5480" xr:uid="{00000000-0005-0000-0000-000043150000}"/>
    <cellStyle name="Normal 44 3 2 3" xfId="5481" xr:uid="{00000000-0005-0000-0000-000044150000}"/>
    <cellStyle name="Normal 44 3 2 3 2" xfId="5482" xr:uid="{00000000-0005-0000-0000-000045150000}"/>
    <cellStyle name="Normal 44 3 2 4" xfId="5483" xr:uid="{00000000-0005-0000-0000-000046150000}"/>
    <cellStyle name="Normal 44 3 3" xfId="5484" xr:uid="{00000000-0005-0000-0000-000047150000}"/>
    <cellStyle name="Normal 44 3 3 2" xfId="5485" xr:uid="{00000000-0005-0000-0000-000048150000}"/>
    <cellStyle name="Normal 44 3 4" xfId="5486" xr:uid="{00000000-0005-0000-0000-000049150000}"/>
    <cellStyle name="Normal 44 3 4 2" xfId="5487" xr:uid="{00000000-0005-0000-0000-00004A150000}"/>
    <cellStyle name="Normal 44 3 5" xfId="5488" xr:uid="{00000000-0005-0000-0000-00004B150000}"/>
    <cellStyle name="Normal 44 4" xfId="5489" xr:uid="{00000000-0005-0000-0000-00004C150000}"/>
    <cellStyle name="Normal 44 4 2" xfId="5490" xr:uid="{00000000-0005-0000-0000-00004D150000}"/>
    <cellStyle name="Normal 44 4 2 2" xfId="5491" xr:uid="{00000000-0005-0000-0000-00004E150000}"/>
    <cellStyle name="Normal 44 4 3" xfId="5492" xr:uid="{00000000-0005-0000-0000-00004F150000}"/>
    <cellStyle name="Normal 44 4 3 2" xfId="5493" xr:uid="{00000000-0005-0000-0000-000050150000}"/>
    <cellStyle name="Normal 44 4 4" xfId="5494" xr:uid="{00000000-0005-0000-0000-000051150000}"/>
    <cellStyle name="Normal 44 5" xfId="5495" xr:uid="{00000000-0005-0000-0000-000052150000}"/>
    <cellStyle name="Normal 44 5 2" xfId="5496" xr:uid="{00000000-0005-0000-0000-000053150000}"/>
    <cellStyle name="Normal 44 6" xfId="5497" xr:uid="{00000000-0005-0000-0000-000054150000}"/>
    <cellStyle name="Normal 44 6 2" xfId="5498" xr:uid="{00000000-0005-0000-0000-000055150000}"/>
    <cellStyle name="Normal 44 7" xfId="5499" xr:uid="{00000000-0005-0000-0000-000056150000}"/>
    <cellStyle name="Normal 45" xfId="5500" xr:uid="{00000000-0005-0000-0000-000057150000}"/>
    <cellStyle name="Normal 45 2" xfId="5501" xr:uid="{00000000-0005-0000-0000-000058150000}"/>
    <cellStyle name="Normal 45 2 2" xfId="5502" xr:uid="{00000000-0005-0000-0000-000059150000}"/>
    <cellStyle name="Normal 45 2 2 2" xfId="5503" xr:uid="{00000000-0005-0000-0000-00005A150000}"/>
    <cellStyle name="Normal 45 2 2 2 2" xfId="5504" xr:uid="{00000000-0005-0000-0000-00005B150000}"/>
    <cellStyle name="Normal 45 2 2 2 2 2" xfId="5505" xr:uid="{00000000-0005-0000-0000-00005C150000}"/>
    <cellStyle name="Normal 45 2 2 2 3" xfId="5506" xr:uid="{00000000-0005-0000-0000-00005D150000}"/>
    <cellStyle name="Normal 45 2 2 2 3 2" xfId="5507" xr:uid="{00000000-0005-0000-0000-00005E150000}"/>
    <cellStyle name="Normal 45 2 2 2 4" xfId="5508" xr:uid="{00000000-0005-0000-0000-00005F150000}"/>
    <cellStyle name="Normal 45 2 2 3" xfId="5509" xr:uid="{00000000-0005-0000-0000-000060150000}"/>
    <cellStyle name="Normal 45 2 2 3 2" xfId="5510" xr:uid="{00000000-0005-0000-0000-000061150000}"/>
    <cellStyle name="Normal 45 2 2 4" xfId="5511" xr:uid="{00000000-0005-0000-0000-000062150000}"/>
    <cellStyle name="Normal 45 2 2 4 2" xfId="5512" xr:uid="{00000000-0005-0000-0000-000063150000}"/>
    <cellStyle name="Normal 45 2 2 5" xfId="5513" xr:uid="{00000000-0005-0000-0000-000064150000}"/>
    <cellStyle name="Normal 45 2 3" xfId="5514" xr:uid="{00000000-0005-0000-0000-000065150000}"/>
    <cellStyle name="Normal 45 2 3 2" xfId="5515" xr:uid="{00000000-0005-0000-0000-000066150000}"/>
    <cellStyle name="Normal 45 2 3 2 2" xfId="5516" xr:uid="{00000000-0005-0000-0000-000067150000}"/>
    <cellStyle name="Normal 45 2 3 3" xfId="5517" xr:uid="{00000000-0005-0000-0000-000068150000}"/>
    <cellStyle name="Normal 45 2 3 3 2" xfId="5518" xr:uid="{00000000-0005-0000-0000-000069150000}"/>
    <cellStyle name="Normal 45 2 3 4" xfId="5519" xr:uid="{00000000-0005-0000-0000-00006A150000}"/>
    <cellStyle name="Normal 45 2 4" xfId="5520" xr:uid="{00000000-0005-0000-0000-00006B150000}"/>
    <cellStyle name="Normal 45 2 4 2" xfId="5521" xr:uid="{00000000-0005-0000-0000-00006C150000}"/>
    <cellStyle name="Normal 45 2 5" xfId="5522" xr:uid="{00000000-0005-0000-0000-00006D150000}"/>
    <cellStyle name="Normal 45 2 5 2" xfId="5523" xr:uid="{00000000-0005-0000-0000-00006E150000}"/>
    <cellStyle name="Normal 45 2 6" xfId="5524" xr:uid="{00000000-0005-0000-0000-00006F150000}"/>
    <cellStyle name="Normal 45 3" xfId="5525" xr:uid="{00000000-0005-0000-0000-000070150000}"/>
    <cellStyle name="Normal 46" xfId="5526" xr:uid="{00000000-0005-0000-0000-000071150000}"/>
    <cellStyle name="Normal 46 2" xfId="5527" xr:uid="{00000000-0005-0000-0000-000072150000}"/>
    <cellStyle name="Normal 46 2 2" xfId="5528" xr:uid="{00000000-0005-0000-0000-000073150000}"/>
    <cellStyle name="Normal 46 2 2 2" xfId="5529" xr:uid="{00000000-0005-0000-0000-000074150000}"/>
    <cellStyle name="Normal 46 2 2 2 2" xfId="5530" xr:uid="{00000000-0005-0000-0000-000075150000}"/>
    <cellStyle name="Normal 46 2 2 2 2 2" xfId="5531" xr:uid="{00000000-0005-0000-0000-000076150000}"/>
    <cellStyle name="Normal 46 2 2 2 3" xfId="5532" xr:uid="{00000000-0005-0000-0000-000077150000}"/>
    <cellStyle name="Normal 46 2 2 2 3 2" xfId="5533" xr:uid="{00000000-0005-0000-0000-000078150000}"/>
    <cellStyle name="Normal 46 2 2 2 4" xfId="5534" xr:uid="{00000000-0005-0000-0000-000079150000}"/>
    <cellStyle name="Normal 46 2 2 3" xfId="5535" xr:uid="{00000000-0005-0000-0000-00007A150000}"/>
    <cellStyle name="Normal 46 2 2 3 2" xfId="5536" xr:uid="{00000000-0005-0000-0000-00007B150000}"/>
    <cellStyle name="Normal 46 2 2 4" xfId="5537" xr:uid="{00000000-0005-0000-0000-00007C150000}"/>
    <cellStyle name="Normal 46 2 2 4 2" xfId="5538" xr:uid="{00000000-0005-0000-0000-00007D150000}"/>
    <cellStyle name="Normal 46 2 2 5" xfId="5539" xr:uid="{00000000-0005-0000-0000-00007E150000}"/>
    <cellStyle name="Normal 46 2 3" xfId="5540" xr:uid="{00000000-0005-0000-0000-00007F150000}"/>
    <cellStyle name="Normal 46 2 3 2" xfId="5541" xr:uid="{00000000-0005-0000-0000-000080150000}"/>
    <cellStyle name="Normal 46 2 3 2 2" xfId="5542" xr:uid="{00000000-0005-0000-0000-000081150000}"/>
    <cellStyle name="Normal 46 2 3 3" xfId="5543" xr:uid="{00000000-0005-0000-0000-000082150000}"/>
    <cellStyle name="Normal 46 2 3 3 2" xfId="5544" xr:uid="{00000000-0005-0000-0000-000083150000}"/>
    <cellStyle name="Normal 46 2 3 4" xfId="5545" xr:uid="{00000000-0005-0000-0000-000084150000}"/>
    <cellStyle name="Normal 46 2 4" xfId="5546" xr:uid="{00000000-0005-0000-0000-000085150000}"/>
    <cellStyle name="Normal 46 2 4 2" xfId="5547" xr:uid="{00000000-0005-0000-0000-000086150000}"/>
    <cellStyle name="Normal 46 2 5" xfId="5548" xr:uid="{00000000-0005-0000-0000-000087150000}"/>
    <cellStyle name="Normal 46 2 5 2" xfId="5549" xr:uid="{00000000-0005-0000-0000-000088150000}"/>
    <cellStyle name="Normal 46 2 6" xfId="5550" xr:uid="{00000000-0005-0000-0000-000089150000}"/>
    <cellStyle name="Normal 46 3" xfId="5551" xr:uid="{00000000-0005-0000-0000-00008A150000}"/>
    <cellStyle name="Normal 47" xfId="5552" xr:uid="{00000000-0005-0000-0000-00008B150000}"/>
    <cellStyle name="Normal 47 2" xfId="5553" xr:uid="{00000000-0005-0000-0000-00008C150000}"/>
    <cellStyle name="Normal 47 2 2" xfId="5554" xr:uid="{00000000-0005-0000-0000-00008D150000}"/>
    <cellStyle name="Normal 47 2 2 2" xfId="5555" xr:uid="{00000000-0005-0000-0000-00008E150000}"/>
    <cellStyle name="Normal 47 2 2 2 2" xfId="5556" xr:uid="{00000000-0005-0000-0000-00008F150000}"/>
    <cellStyle name="Normal 47 2 2 2 2 2" xfId="5557" xr:uid="{00000000-0005-0000-0000-000090150000}"/>
    <cellStyle name="Normal 47 2 2 2 3" xfId="5558" xr:uid="{00000000-0005-0000-0000-000091150000}"/>
    <cellStyle name="Normal 47 2 2 2 3 2" xfId="5559" xr:uid="{00000000-0005-0000-0000-000092150000}"/>
    <cellStyle name="Normal 47 2 2 2 4" xfId="5560" xr:uid="{00000000-0005-0000-0000-000093150000}"/>
    <cellStyle name="Normal 47 2 2 3" xfId="5561" xr:uid="{00000000-0005-0000-0000-000094150000}"/>
    <cellStyle name="Normal 47 2 2 3 2" xfId="5562" xr:uid="{00000000-0005-0000-0000-000095150000}"/>
    <cellStyle name="Normal 47 2 2 4" xfId="5563" xr:uid="{00000000-0005-0000-0000-000096150000}"/>
    <cellStyle name="Normal 47 2 2 4 2" xfId="5564" xr:uid="{00000000-0005-0000-0000-000097150000}"/>
    <cellStyle name="Normal 47 2 2 5" xfId="5565" xr:uid="{00000000-0005-0000-0000-000098150000}"/>
    <cellStyle name="Normal 47 2 3" xfId="5566" xr:uid="{00000000-0005-0000-0000-000099150000}"/>
    <cellStyle name="Normal 47 2 3 2" xfId="5567" xr:uid="{00000000-0005-0000-0000-00009A150000}"/>
    <cellStyle name="Normal 47 2 3 2 2" xfId="5568" xr:uid="{00000000-0005-0000-0000-00009B150000}"/>
    <cellStyle name="Normal 47 2 3 3" xfId="5569" xr:uid="{00000000-0005-0000-0000-00009C150000}"/>
    <cellStyle name="Normal 47 2 3 3 2" xfId="5570" xr:uid="{00000000-0005-0000-0000-00009D150000}"/>
    <cellStyle name="Normal 47 2 3 4" xfId="5571" xr:uid="{00000000-0005-0000-0000-00009E150000}"/>
    <cellStyle name="Normal 47 2 4" xfId="5572" xr:uid="{00000000-0005-0000-0000-00009F150000}"/>
    <cellStyle name="Normal 47 2 4 2" xfId="5573" xr:uid="{00000000-0005-0000-0000-0000A0150000}"/>
    <cellStyle name="Normal 47 2 5" xfId="5574" xr:uid="{00000000-0005-0000-0000-0000A1150000}"/>
    <cellStyle name="Normal 47 2 5 2" xfId="5575" xr:uid="{00000000-0005-0000-0000-0000A2150000}"/>
    <cellStyle name="Normal 47 2 6" xfId="5576" xr:uid="{00000000-0005-0000-0000-0000A3150000}"/>
    <cellStyle name="Normal 47 3" xfId="5577" xr:uid="{00000000-0005-0000-0000-0000A4150000}"/>
    <cellStyle name="Normal 48" xfId="5578" xr:uid="{00000000-0005-0000-0000-0000A5150000}"/>
    <cellStyle name="Normal 48 2" xfId="5579" xr:uid="{00000000-0005-0000-0000-0000A6150000}"/>
    <cellStyle name="Normal 48 2 2" xfId="5580" xr:uid="{00000000-0005-0000-0000-0000A7150000}"/>
    <cellStyle name="Normal 48 2 2 2" xfId="5581" xr:uid="{00000000-0005-0000-0000-0000A8150000}"/>
    <cellStyle name="Normal 48 2 2 2 2" xfId="5582" xr:uid="{00000000-0005-0000-0000-0000A9150000}"/>
    <cellStyle name="Normal 48 2 2 2 2 2" xfId="5583" xr:uid="{00000000-0005-0000-0000-0000AA150000}"/>
    <cellStyle name="Normal 48 2 2 2 3" xfId="5584" xr:uid="{00000000-0005-0000-0000-0000AB150000}"/>
    <cellStyle name="Normal 48 2 2 2 3 2" xfId="5585" xr:uid="{00000000-0005-0000-0000-0000AC150000}"/>
    <cellStyle name="Normal 48 2 2 2 4" xfId="5586" xr:uid="{00000000-0005-0000-0000-0000AD150000}"/>
    <cellStyle name="Normal 48 2 2 3" xfId="5587" xr:uid="{00000000-0005-0000-0000-0000AE150000}"/>
    <cellStyle name="Normal 48 2 2 3 2" xfId="5588" xr:uid="{00000000-0005-0000-0000-0000AF150000}"/>
    <cellStyle name="Normal 48 2 2 4" xfId="5589" xr:uid="{00000000-0005-0000-0000-0000B0150000}"/>
    <cellStyle name="Normal 48 2 2 4 2" xfId="5590" xr:uid="{00000000-0005-0000-0000-0000B1150000}"/>
    <cellStyle name="Normal 48 2 2 5" xfId="5591" xr:uid="{00000000-0005-0000-0000-0000B2150000}"/>
    <cellStyle name="Normal 48 2 3" xfId="5592" xr:uid="{00000000-0005-0000-0000-0000B3150000}"/>
    <cellStyle name="Normal 48 2 3 2" xfId="5593" xr:uid="{00000000-0005-0000-0000-0000B4150000}"/>
    <cellStyle name="Normal 48 2 3 2 2" xfId="5594" xr:uid="{00000000-0005-0000-0000-0000B5150000}"/>
    <cellStyle name="Normal 48 2 3 3" xfId="5595" xr:uid="{00000000-0005-0000-0000-0000B6150000}"/>
    <cellStyle name="Normal 48 2 3 3 2" xfId="5596" xr:uid="{00000000-0005-0000-0000-0000B7150000}"/>
    <cellStyle name="Normal 48 2 3 4" xfId="5597" xr:uid="{00000000-0005-0000-0000-0000B8150000}"/>
    <cellStyle name="Normal 48 2 4" xfId="5598" xr:uid="{00000000-0005-0000-0000-0000B9150000}"/>
    <cellStyle name="Normal 48 2 4 2" xfId="5599" xr:uid="{00000000-0005-0000-0000-0000BA150000}"/>
    <cellStyle name="Normal 48 2 5" xfId="5600" xr:uid="{00000000-0005-0000-0000-0000BB150000}"/>
    <cellStyle name="Normal 48 2 5 2" xfId="5601" xr:uid="{00000000-0005-0000-0000-0000BC150000}"/>
    <cellStyle name="Normal 48 2 6" xfId="5602" xr:uid="{00000000-0005-0000-0000-0000BD150000}"/>
    <cellStyle name="Normal 48 3" xfId="5603" xr:uid="{00000000-0005-0000-0000-0000BE150000}"/>
    <cellStyle name="Normal 48 3 2" xfId="5604" xr:uid="{00000000-0005-0000-0000-0000BF150000}"/>
    <cellStyle name="Normal 48 3 2 2" xfId="5605" xr:uid="{00000000-0005-0000-0000-0000C0150000}"/>
    <cellStyle name="Normal 48 3 2 2 2" xfId="5606" xr:uid="{00000000-0005-0000-0000-0000C1150000}"/>
    <cellStyle name="Normal 48 3 2 3" xfId="5607" xr:uid="{00000000-0005-0000-0000-0000C2150000}"/>
    <cellStyle name="Normal 48 3 2 3 2" xfId="5608" xr:uid="{00000000-0005-0000-0000-0000C3150000}"/>
    <cellStyle name="Normal 48 3 2 4" xfId="5609" xr:uid="{00000000-0005-0000-0000-0000C4150000}"/>
    <cellStyle name="Normal 48 3 3" xfId="5610" xr:uid="{00000000-0005-0000-0000-0000C5150000}"/>
    <cellStyle name="Normal 48 3 3 2" xfId="5611" xr:uid="{00000000-0005-0000-0000-0000C6150000}"/>
    <cellStyle name="Normal 48 3 4" xfId="5612" xr:uid="{00000000-0005-0000-0000-0000C7150000}"/>
    <cellStyle name="Normal 48 3 4 2" xfId="5613" xr:uid="{00000000-0005-0000-0000-0000C8150000}"/>
    <cellStyle name="Normal 48 3 5" xfId="5614" xr:uid="{00000000-0005-0000-0000-0000C9150000}"/>
    <cellStyle name="Normal 48 4" xfId="5615" xr:uid="{00000000-0005-0000-0000-0000CA150000}"/>
    <cellStyle name="Normal 48 4 2" xfId="5616" xr:uid="{00000000-0005-0000-0000-0000CB150000}"/>
    <cellStyle name="Normal 48 4 2 2" xfId="5617" xr:uid="{00000000-0005-0000-0000-0000CC150000}"/>
    <cellStyle name="Normal 48 4 3" xfId="5618" xr:uid="{00000000-0005-0000-0000-0000CD150000}"/>
    <cellStyle name="Normal 48 4 3 2" xfId="5619" xr:uid="{00000000-0005-0000-0000-0000CE150000}"/>
    <cellStyle name="Normal 48 4 4" xfId="5620" xr:uid="{00000000-0005-0000-0000-0000CF150000}"/>
    <cellStyle name="Normal 48 5" xfId="5621" xr:uid="{00000000-0005-0000-0000-0000D0150000}"/>
    <cellStyle name="Normal 48 5 2" xfId="5622" xr:uid="{00000000-0005-0000-0000-0000D1150000}"/>
    <cellStyle name="Normal 48 6" xfId="5623" xr:uid="{00000000-0005-0000-0000-0000D2150000}"/>
    <cellStyle name="Normal 48 6 2" xfId="5624" xr:uid="{00000000-0005-0000-0000-0000D3150000}"/>
    <cellStyle name="Normal 48 7" xfId="5625" xr:uid="{00000000-0005-0000-0000-0000D4150000}"/>
    <cellStyle name="Normal 49" xfId="5626" xr:uid="{00000000-0005-0000-0000-0000D5150000}"/>
    <cellStyle name="Normal 49 2" xfId="5627" xr:uid="{00000000-0005-0000-0000-0000D6150000}"/>
    <cellStyle name="Normal 49 2 2" xfId="5628" xr:uid="{00000000-0005-0000-0000-0000D7150000}"/>
    <cellStyle name="Normal 49 2 2 2" xfId="5629" xr:uid="{00000000-0005-0000-0000-0000D8150000}"/>
    <cellStyle name="Normal 49 2 2 2 2" xfId="5630" xr:uid="{00000000-0005-0000-0000-0000D9150000}"/>
    <cellStyle name="Normal 49 2 2 2 2 2" xfId="5631" xr:uid="{00000000-0005-0000-0000-0000DA150000}"/>
    <cellStyle name="Normal 49 2 2 2 3" xfId="5632" xr:uid="{00000000-0005-0000-0000-0000DB150000}"/>
    <cellStyle name="Normal 49 2 2 2 3 2" xfId="5633" xr:uid="{00000000-0005-0000-0000-0000DC150000}"/>
    <cellStyle name="Normal 49 2 2 2 4" xfId="5634" xr:uid="{00000000-0005-0000-0000-0000DD150000}"/>
    <cellStyle name="Normal 49 2 2 3" xfId="5635" xr:uid="{00000000-0005-0000-0000-0000DE150000}"/>
    <cellStyle name="Normal 49 2 2 3 2" xfId="5636" xr:uid="{00000000-0005-0000-0000-0000DF150000}"/>
    <cellStyle name="Normal 49 2 2 4" xfId="5637" xr:uid="{00000000-0005-0000-0000-0000E0150000}"/>
    <cellStyle name="Normal 49 2 2 4 2" xfId="5638" xr:uid="{00000000-0005-0000-0000-0000E1150000}"/>
    <cellStyle name="Normal 49 2 2 5" xfId="5639" xr:uid="{00000000-0005-0000-0000-0000E2150000}"/>
    <cellStyle name="Normal 49 2 3" xfId="5640" xr:uid="{00000000-0005-0000-0000-0000E3150000}"/>
    <cellStyle name="Normal 49 2 3 2" xfId="5641" xr:uid="{00000000-0005-0000-0000-0000E4150000}"/>
    <cellStyle name="Normal 49 2 3 2 2" xfId="5642" xr:uid="{00000000-0005-0000-0000-0000E5150000}"/>
    <cellStyle name="Normal 49 2 3 3" xfId="5643" xr:uid="{00000000-0005-0000-0000-0000E6150000}"/>
    <cellStyle name="Normal 49 2 3 3 2" xfId="5644" xr:uid="{00000000-0005-0000-0000-0000E7150000}"/>
    <cellStyle name="Normal 49 2 3 4" xfId="5645" xr:uid="{00000000-0005-0000-0000-0000E8150000}"/>
    <cellStyle name="Normal 49 2 4" xfId="5646" xr:uid="{00000000-0005-0000-0000-0000E9150000}"/>
    <cellStyle name="Normal 49 2 4 2" xfId="5647" xr:uid="{00000000-0005-0000-0000-0000EA150000}"/>
    <cellStyle name="Normal 49 2 5" xfId="5648" xr:uid="{00000000-0005-0000-0000-0000EB150000}"/>
    <cellStyle name="Normal 49 2 5 2" xfId="5649" xr:uid="{00000000-0005-0000-0000-0000EC150000}"/>
    <cellStyle name="Normal 49 2 6" xfId="5650" xr:uid="{00000000-0005-0000-0000-0000ED150000}"/>
    <cellStyle name="Normal 49 3" xfId="5651" xr:uid="{00000000-0005-0000-0000-0000EE150000}"/>
    <cellStyle name="Normal 49 3 2" xfId="5652" xr:uid="{00000000-0005-0000-0000-0000EF150000}"/>
    <cellStyle name="Normal 49 3 2 2" xfId="5653" xr:uid="{00000000-0005-0000-0000-0000F0150000}"/>
    <cellStyle name="Normal 49 3 2 2 2" xfId="5654" xr:uid="{00000000-0005-0000-0000-0000F1150000}"/>
    <cellStyle name="Normal 49 3 2 3" xfId="5655" xr:uid="{00000000-0005-0000-0000-0000F2150000}"/>
    <cellStyle name="Normal 49 3 2 3 2" xfId="5656" xr:uid="{00000000-0005-0000-0000-0000F3150000}"/>
    <cellStyle name="Normal 49 3 2 4" xfId="5657" xr:uid="{00000000-0005-0000-0000-0000F4150000}"/>
    <cellStyle name="Normal 49 3 3" xfId="5658" xr:uid="{00000000-0005-0000-0000-0000F5150000}"/>
    <cellStyle name="Normal 49 3 3 2" xfId="5659" xr:uid="{00000000-0005-0000-0000-0000F6150000}"/>
    <cellStyle name="Normal 49 3 4" xfId="5660" xr:uid="{00000000-0005-0000-0000-0000F7150000}"/>
    <cellStyle name="Normal 49 3 4 2" xfId="5661" xr:uid="{00000000-0005-0000-0000-0000F8150000}"/>
    <cellStyle name="Normal 49 3 5" xfId="5662" xr:uid="{00000000-0005-0000-0000-0000F9150000}"/>
    <cellStyle name="Normal 49 4" xfId="5663" xr:uid="{00000000-0005-0000-0000-0000FA150000}"/>
    <cellStyle name="Normal 49 4 2" xfId="5664" xr:uid="{00000000-0005-0000-0000-0000FB150000}"/>
    <cellStyle name="Normal 49 4 2 2" xfId="5665" xr:uid="{00000000-0005-0000-0000-0000FC150000}"/>
    <cellStyle name="Normal 49 4 3" xfId="5666" xr:uid="{00000000-0005-0000-0000-0000FD150000}"/>
    <cellStyle name="Normal 49 4 3 2" xfId="5667" xr:uid="{00000000-0005-0000-0000-0000FE150000}"/>
    <cellStyle name="Normal 49 4 4" xfId="5668" xr:uid="{00000000-0005-0000-0000-0000FF150000}"/>
    <cellStyle name="Normal 49 5" xfId="5669" xr:uid="{00000000-0005-0000-0000-000000160000}"/>
    <cellStyle name="Normal 49 5 2" xfId="5670" xr:uid="{00000000-0005-0000-0000-000001160000}"/>
    <cellStyle name="Normal 49 6" xfId="5671" xr:uid="{00000000-0005-0000-0000-000002160000}"/>
    <cellStyle name="Normal 49 6 2" xfId="5672" xr:uid="{00000000-0005-0000-0000-000003160000}"/>
    <cellStyle name="Normal 49 7" xfId="5673" xr:uid="{00000000-0005-0000-0000-000004160000}"/>
    <cellStyle name="Normal 5" xfId="100" xr:uid="{00000000-0005-0000-0000-000005160000}"/>
    <cellStyle name="Normal 5 10" xfId="5675" xr:uid="{00000000-0005-0000-0000-000006160000}"/>
    <cellStyle name="Normal 5 11" xfId="5674" xr:uid="{00000000-0005-0000-0000-000007160000}"/>
    <cellStyle name="Normal 5 12" xfId="9023" xr:uid="{F464D899-0998-4C87-9C1B-8E231C18DDF5}"/>
    <cellStyle name="Normal 5 2" xfId="101" xr:uid="{00000000-0005-0000-0000-000008160000}"/>
    <cellStyle name="Normal 5 2 10" xfId="5677" xr:uid="{00000000-0005-0000-0000-000009160000}"/>
    <cellStyle name="Normal 5 2 11" xfId="5678" xr:uid="{00000000-0005-0000-0000-00000A160000}"/>
    <cellStyle name="Normal 5 2 12" xfId="5676" xr:uid="{00000000-0005-0000-0000-00000B160000}"/>
    <cellStyle name="Normal 5 2 2" xfId="5679" xr:uid="{00000000-0005-0000-0000-00000C160000}"/>
    <cellStyle name="Normal 5 2 2 2" xfId="5680" xr:uid="{00000000-0005-0000-0000-00000D160000}"/>
    <cellStyle name="Normal 5 2 2 2 2" xfId="5681" xr:uid="{00000000-0005-0000-0000-00000E160000}"/>
    <cellStyle name="Normal 5 2 2 2 2 2" xfId="5682" xr:uid="{00000000-0005-0000-0000-00000F160000}"/>
    <cellStyle name="Normal 5 2 2 2 2 2 2" xfId="5683" xr:uid="{00000000-0005-0000-0000-000010160000}"/>
    <cellStyle name="Normal 5 2 2 2 2 2 2 2" xfId="5684" xr:uid="{00000000-0005-0000-0000-000011160000}"/>
    <cellStyle name="Normal 5 2 2 2 2 2 3" xfId="5685" xr:uid="{00000000-0005-0000-0000-000012160000}"/>
    <cellStyle name="Normal 5 2 2 2 2 2 3 2" xfId="5686" xr:uid="{00000000-0005-0000-0000-000013160000}"/>
    <cellStyle name="Normal 5 2 2 2 2 2 4" xfId="5687" xr:uid="{00000000-0005-0000-0000-000014160000}"/>
    <cellStyle name="Normal 5 2 2 2 2 3" xfId="5688" xr:uid="{00000000-0005-0000-0000-000015160000}"/>
    <cellStyle name="Normal 5 2 2 2 2 3 2" xfId="5689" xr:uid="{00000000-0005-0000-0000-000016160000}"/>
    <cellStyle name="Normal 5 2 2 2 2 4" xfId="5690" xr:uid="{00000000-0005-0000-0000-000017160000}"/>
    <cellStyle name="Normal 5 2 2 2 2 4 2" xfId="5691" xr:uid="{00000000-0005-0000-0000-000018160000}"/>
    <cellStyle name="Normal 5 2 2 2 2 5" xfId="5692" xr:uid="{00000000-0005-0000-0000-000019160000}"/>
    <cellStyle name="Normal 5 2 2 2 3" xfId="5693" xr:uid="{00000000-0005-0000-0000-00001A160000}"/>
    <cellStyle name="Normal 5 2 2 2 3 2" xfId="5694" xr:uid="{00000000-0005-0000-0000-00001B160000}"/>
    <cellStyle name="Normal 5 2 2 2 3 2 2" xfId="5695" xr:uid="{00000000-0005-0000-0000-00001C160000}"/>
    <cellStyle name="Normal 5 2 2 2 3 3" xfId="5696" xr:uid="{00000000-0005-0000-0000-00001D160000}"/>
    <cellStyle name="Normal 5 2 2 2 3 3 2" xfId="5697" xr:uid="{00000000-0005-0000-0000-00001E160000}"/>
    <cellStyle name="Normal 5 2 2 2 3 4" xfId="5698" xr:uid="{00000000-0005-0000-0000-00001F160000}"/>
    <cellStyle name="Normal 5 2 2 2 4" xfId="5699" xr:uid="{00000000-0005-0000-0000-000020160000}"/>
    <cellStyle name="Normal 5 2 2 2 4 2" xfId="5700" xr:uid="{00000000-0005-0000-0000-000021160000}"/>
    <cellStyle name="Normal 5 2 2 2 5" xfId="5701" xr:uid="{00000000-0005-0000-0000-000022160000}"/>
    <cellStyle name="Normal 5 2 2 2 5 2" xfId="5702" xr:uid="{00000000-0005-0000-0000-000023160000}"/>
    <cellStyle name="Normal 5 2 2 2 6" xfId="5703" xr:uid="{00000000-0005-0000-0000-000024160000}"/>
    <cellStyle name="Normal 5 2 2 3" xfId="5704" xr:uid="{00000000-0005-0000-0000-000025160000}"/>
    <cellStyle name="Normal 5 2 2 3 2" xfId="5705" xr:uid="{00000000-0005-0000-0000-000026160000}"/>
    <cellStyle name="Normal 5 2 2 3 2 2" xfId="5706" xr:uid="{00000000-0005-0000-0000-000027160000}"/>
    <cellStyle name="Normal 5 2 2 3 2 2 2" xfId="5707" xr:uid="{00000000-0005-0000-0000-000028160000}"/>
    <cellStyle name="Normal 5 2 2 3 2 3" xfId="5708" xr:uid="{00000000-0005-0000-0000-000029160000}"/>
    <cellStyle name="Normal 5 2 2 3 2 3 2" xfId="5709" xr:uid="{00000000-0005-0000-0000-00002A160000}"/>
    <cellStyle name="Normal 5 2 2 3 2 4" xfId="5710" xr:uid="{00000000-0005-0000-0000-00002B160000}"/>
    <cellStyle name="Normal 5 2 2 3 3" xfId="5711" xr:uid="{00000000-0005-0000-0000-00002C160000}"/>
    <cellStyle name="Normal 5 2 2 3 3 2" xfId="5712" xr:uid="{00000000-0005-0000-0000-00002D160000}"/>
    <cellStyle name="Normal 5 2 2 3 4" xfId="5713" xr:uid="{00000000-0005-0000-0000-00002E160000}"/>
    <cellStyle name="Normal 5 2 2 3 4 2" xfId="5714" xr:uid="{00000000-0005-0000-0000-00002F160000}"/>
    <cellStyle name="Normal 5 2 2 3 5" xfId="5715" xr:uid="{00000000-0005-0000-0000-000030160000}"/>
    <cellStyle name="Normal 5 2 2 4" xfId="5716" xr:uid="{00000000-0005-0000-0000-000031160000}"/>
    <cellStyle name="Normal 5 2 2 4 2" xfId="5717" xr:uid="{00000000-0005-0000-0000-000032160000}"/>
    <cellStyle name="Normal 5 2 2 4 2 2" xfId="5718" xr:uid="{00000000-0005-0000-0000-000033160000}"/>
    <cellStyle name="Normal 5 2 2 4 3" xfId="5719" xr:uid="{00000000-0005-0000-0000-000034160000}"/>
    <cellStyle name="Normal 5 2 2 4 3 2" xfId="5720" xr:uid="{00000000-0005-0000-0000-000035160000}"/>
    <cellStyle name="Normal 5 2 2 4 4" xfId="5721" xr:uid="{00000000-0005-0000-0000-000036160000}"/>
    <cellStyle name="Normal 5 2 2 5" xfId="5722" xr:uid="{00000000-0005-0000-0000-000037160000}"/>
    <cellStyle name="Normal 5 2 2 5 2" xfId="5723" xr:uid="{00000000-0005-0000-0000-000038160000}"/>
    <cellStyle name="Normal 5 2 2 6" xfId="5724" xr:uid="{00000000-0005-0000-0000-000039160000}"/>
    <cellStyle name="Normal 5 2 2 6 2" xfId="5725" xr:uid="{00000000-0005-0000-0000-00003A160000}"/>
    <cellStyle name="Normal 5 2 2 7" xfId="5726" xr:uid="{00000000-0005-0000-0000-00003B160000}"/>
    <cellStyle name="Normal 5 2 3" xfId="5727" xr:uid="{00000000-0005-0000-0000-00003C160000}"/>
    <cellStyle name="Normal 5 2 3 2" xfId="5728" xr:uid="{00000000-0005-0000-0000-00003D160000}"/>
    <cellStyle name="Normal 5 2 3 2 2" xfId="5729" xr:uid="{00000000-0005-0000-0000-00003E160000}"/>
    <cellStyle name="Normal 5 2 3 2 2 2" xfId="5730" xr:uid="{00000000-0005-0000-0000-00003F160000}"/>
    <cellStyle name="Normal 5 2 3 2 2 2 2" xfId="5731" xr:uid="{00000000-0005-0000-0000-000040160000}"/>
    <cellStyle name="Normal 5 2 3 2 2 3" xfId="5732" xr:uid="{00000000-0005-0000-0000-000041160000}"/>
    <cellStyle name="Normal 5 2 3 2 2 3 2" xfId="5733" xr:uid="{00000000-0005-0000-0000-000042160000}"/>
    <cellStyle name="Normal 5 2 3 2 2 4" xfId="5734" xr:uid="{00000000-0005-0000-0000-000043160000}"/>
    <cellStyle name="Normal 5 2 3 2 3" xfId="5735" xr:uid="{00000000-0005-0000-0000-000044160000}"/>
    <cellStyle name="Normal 5 2 3 2 3 2" xfId="5736" xr:uid="{00000000-0005-0000-0000-000045160000}"/>
    <cellStyle name="Normal 5 2 3 2 4" xfId="5737" xr:uid="{00000000-0005-0000-0000-000046160000}"/>
    <cellStyle name="Normal 5 2 3 2 4 2" xfId="5738" xr:uid="{00000000-0005-0000-0000-000047160000}"/>
    <cellStyle name="Normal 5 2 3 2 5" xfId="5739" xr:uid="{00000000-0005-0000-0000-000048160000}"/>
    <cellStyle name="Normal 5 2 3 3" xfId="5740" xr:uid="{00000000-0005-0000-0000-000049160000}"/>
    <cellStyle name="Normal 5 2 3 3 2" xfId="5741" xr:uid="{00000000-0005-0000-0000-00004A160000}"/>
    <cellStyle name="Normal 5 2 3 3 2 2" xfId="5742" xr:uid="{00000000-0005-0000-0000-00004B160000}"/>
    <cellStyle name="Normal 5 2 3 3 3" xfId="5743" xr:uid="{00000000-0005-0000-0000-00004C160000}"/>
    <cellStyle name="Normal 5 2 3 3 3 2" xfId="5744" xr:uid="{00000000-0005-0000-0000-00004D160000}"/>
    <cellStyle name="Normal 5 2 3 3 4" xfId="5745" xr:uid="{00000000-0005-0000-0000-00004E160000}"/>
    <cellStyle name="Normal 5 2 3 4" xfId="5746" xr:uid="{00000000-0005-0000-0000-00004F160000}"/>
    <cellStyle name="Normal 5 2 3 4 2" xfId="5747" xr:uid="{00000000-0005-0000-0000-000050160000}"/>
    <cellStyle name="Normal 5 2 3 4 3" xfId="5748" xr:uid="{00000000-0005-0000-0000-000051160000}"/>
    <cellStyle name="Normal 5 2 3 5" xfId="5749" xr:uid="{00000000-0005-0000-0000-000052160000}"/>
    <cellStyle name="Normal 5 2 3 5 2" xfId="5750" xr:uid="{00000000-0005-0000-0000-000053160000}"/>
    <cellStyle name="Normal 5 2 3 6" xfId="5751" xr:uid="{00000000-0005-0000-0000-000054160000}"/>
    <cellStyle name="Normal 5 2 4" xfId="5752" xr:uid="{00000000-0005-0000-0000-000055160000}"/>
    <cellStyle name="Normal 5 2 4 2" xfId="5753" xr:uid="{00000000-0005-0000-0000-000056160000}"/>
    <cellStyle name="Normal 5 2 4 2 2" xfId="5754" xr:uid="{00000000-0005-0000-0000-000057160000}"/>
    <cellStyle name="Normal 5 2 4 2 2 2" xfId="5755" xr:uid="{00000000-0005-0000-0000-000058160000}"/>
    <cellStyle name="Normal 5 2 4 2 3" xfId="5756" xr:uid="{00000000-0005-0000-0000-000059160000}"/>
    <cellStyle name="Normal 5 2 4 2 3 2" xfId="5757" xr:uid="{00000000-0005-0000-0000-00005A160000}"/>
    <cellStyle name="Normal 5 2 4 2 4" xfId="5758" xr:uid="{00000000-0005-0000-0000-00005B160000}"/>
    <cellStyle name="Normal 5 2 4 2 5" xfId="5759" xr:uid="{00000000-0005-0000-0000-00005C160000}"/>
    <cellStyle name="Normal 5 2 4 3" xfId="5760" xr:uid="{00000000-0005-0000-0000-00005D160000}"/>
    <cellStyle name="Normal 5 2 4 3 2" xfId="5761" xr:uid="{00000000-0005-0000-0000-00005E160000}"/>
    <cellStyle name="Normal 5 2 4 3 3" xfId="5762" xr:uid="{00000000-0005-0000-0000-00005F160000}"/>
    <cellStyle name="Normal 5 2 4 4" xfId="5763" xr:uid="{00000000-0005-0000-0000-000060160000}"/>
    <cellStyle name="Normal 5 2 4 4 2" xfId="5764" xr:uid="{00000000-0005-0000-0000-000061160000}"/>
    <cellStyle name="Normal 5 2 4 4 3" xfId="5765" xr:uid="{00000000-0005-0000-0000-000062160000}"/>
    <cellStyle name="Normal 5 2 4 5" xfId="5766" xr:uid="{00000000-0005-0000-0000-000063160000}"/>
    <cellStyle name="Normal 5 2 4 6" xfId="5767" xr:uid="{00000000-0005-0000-0000-000064160000}"/>
    <cellStyle name="Normal 5 2 5" xfId="5768" xr:uid="{00000000-0005-0000-0000-000065160000}"/>
    <cellStyle name="Normal 5 2 5 10" xfId="5769" xr:uid="{00000000-0005-0000-0000-000066160000}"/>
    <cellStyle name="Normal 5 2 5 10 2" xfId="5770" xr:uid="{00000000-0005-0000-0000-000067160000}"/>
    <cellStyle name="Normal 5 2 5 10 3" xfId="5771" xr:uid="{00000000-0005-0000-0000-000068160000}"/>
    <cellStyle name="Normal 5 2 5 11" xfId="5772" xr:uid="{00000000-0005-0000-0000-000069160000}"/>
    <cellStyle name="Normal 5 2 5 11 2" xfId="5773" xr:uid="{00000000-0005-0000-0000-00006A160000}"/>
    <cellStyle name="Normal 5 2 5 12" xfId="5774" xr:uid="{00000000-0005-0000-0000-00006B160000}"/>
    <cellStyle name="Normal 5 2 5 12 2" xfId="5775" xr:uid="{00000000-0005-0000-0000-00006C160000}"/>
    <cellStyle name="Normal 5 2 5 13" xfId="5776" xr:uid="{00000000-0005-0000-0000-00006D160000}"/>
    <cellStyle name="Normal 5 2 5 14" xfId="5777" xr:uid="{00000000-0005-0000-0000-00006E160000}"/>
    <cellStyle name="Normal 5 2 5 15" xfId="5778" xr:uid="{00000000-0005-0000-0000-00006F160000}"/>
    <cellStyle name="Normal 5 2 5 16" xfId="5779" xr:uid="{00000000-0005-0000-0000-000070160000}"/>
    <cellStyle name="Normal 5 2 5 17" xfId="5780" xr:uid="{00000000-0005-0000-0000-000071160000}"/>
    <cellStyle name="Normal 5 2 5 18" xfId="5781" xr:uid="{00000000-0005-0000-0000-000072160000}"/>
    <cellStyle name="Normal 5 2 5 19" xfId="5782" xr:uid="{00000000-0005-0000-0000-000073160000}"/>
    <cellStyle name="Normal 5 2 5 19 2" xfId="5783" xr:uid="{00000000-0005-0000-0000-000074160000}"/>
    <cellStyle name="Normal 5 2 5 19 3" xfId="5784" xr:uid="{00000000-0005-0000-0000-000075160000}"/>
    <cellStyle name="Normal 5 2 5 19 4" xfId="5785" xr:uid="{00000000-0005-0000-0000-000076160000}"/>
    <cellStyle name="Normal 5 2 5 19 5" xfId="5786" xr:uid="{00000000-0005-0000-0000-000077160000}"/>
    <cellStyle name="Normal 5 2 5 19 6" xfId="5787" xr:uid="{00000000-0005-0000-0000-000078160000}"/>
    <cellStyle name="Normal 5 2 5 19 7" xfId="5788" xr:uid="{00000000-0005-0000-0000-000079160000}"/>
    <cellStyle name="Normal 5 2 5 2" xfId="5789" xr:uid="{00000000-0005-0000-0000-00007A160000}"/>
    <cellStyle name="Normal 5 2 5 2 2" xfId="5790" xr:uid="{00000000-0005-0000-0000-00007B160000}"/>
    <cellStyle name="Normal 5 2 5 2 2 2" xfId="5791" xr:uid="{00000000-0005-0000-0000-00007C160000}"/>
    <cellStyle name="Normal 5 2 5 2 2 3" xfId="5792" xr:uid="{00000000-0005-0000-0000-00007D160000}"/>
    <cellStyle name="Normal 5 2 5 2 2 4" xfId="5793" xr:uid="{00000000-0005-0000-0000-00007E160000}"/>
    <cellStyle name="Normal 5 2 5 2 2 5" xfId="5794" xr:uid="{00000000-0005-0000-0000-00007F160000}"/>
    <cellStyle name="Normal 5 2 5 2 3" xfId="5795" xr:uid="{00000000-0005-0000-0000-000080160000}"/>
    <cellStyle name="Normal 5 2 5 2 3 2" xfId="5796" xr:uid="{00000000-0005-0000-0000-000081160000}"/>
    <cellStyle name="Normal 5 2 5 2 3 3" xfId="5797" xr:uid="{00000000-0005-0000-0000-000082160000}"/>
    <cellStyle name="Normal 5 2 5 2 4" xfId="5798" xr:uid="{00000000-0005-0000-0000-000083160000}"/>
    <cellStyle name="Normal 5 2 5 2 4 2" xfId="5799" xr:uid="{00000000-0005-0000-0000-000084160000}"/>
    <cellStyle name="Normal 5 2 5 2 4 3" xfId="5800" xr:uid="{00000000-0005-0000-0000-000085160000}"/>
    <cellStyle name="Normal 5 2 5 2 5" xfId="5801" xr:uid="{00000000-0005-0000-0000-000086160000}"/>
    <cellStyle name="Normal 5 2 5 2 6" xfId="5802" xr:uid="{00000000-0005-0000-0000-000087160000}"/>
    <cellStyle name="Normal 5 2 5 20" xfId="5803" xr:uid="{00000000-0005-0000-0000-000088160000}"/>
    <cellStyle name="Normal 5 2 5 21" xfId="5804" xr:uid="{00000000-0005-0000-0000-000089160000}"/>
    <cellStyle name="Normal 5 2 5 22" xfId="5805" xr:uid="{00000000-0005-0000-0000-00008A160000}"/>
    <cellStyle name="Normal 5 2 5 23" xfId="5806" xr:uid="{00000000-0005-0000-0000-00008B160000}"/>
    <cellStyle name="Normal 5 2 5 24" xfId="5807" xr:uid="{00000000-0005-0000-0000-00008C160000}"/>
    <cellStyle name="Normal 5 2 5 25" xfId="5808" xr:uid="{00000000-0005-0000-0000-00008D160000}"/>
    <cellStyle name="Normal 5 2 5 26" xfId="5809" xr:uid="{00000000-0005-0000-0000-00008E160000}"/>
    <cellStyle name="Normal 5 2 5 27" xfId="5810" xr:uid="{00000000-0005-0000-0000-00008F160000}"/>
    <cellStyle name="Normal 5 2 5 3" xfId="5811" xr:uid="{00000000-0005-0000-0000-000090160000}"/>
    <cellStyle name="Normal 5 2 5 3 10" xfId="5812" xr:uid="{00000000-0005-0000-0000-000091160000}"/>
    <cellStyle name="Normal 5 2 5 3 11" xfId="5813" xr:uid="{00000000-0005-0000-0000-000092160000}"/>
    <cellStyle name="Normal 5 2 5 3 12" xfId="5814" xr:uid="{00000000-0005-0000-0000-000093160000}"/>
    <cellStyle name="Normal 5 2 5 3 13" xfId="5815" xr:uid="{00000000-0005-0000-0000-000094160000}"/>
    <cellStyle name="Normal 5 2 5 3 14" xfId="5816" xr:uid="{00000000-0005-0000-0000-000095160000}"/>
    <cellStyle name="Normal 5 2 5 3 15" xfId="5817" xr:uid="{00000000-0005-0000-0000-000096160000}"/>
    <cellStyle name="Normal 5 2 5 3 16" xfId="5818" xr:uid="{00000000-0005-0000-0000-000097160000}"/>
    <cellStyle name="Normal 5 2 5 3 17" xfId="5819" xr:uid="{00000000-0005-0000-0000-000098160000}"/>
    <cellStyle name="Normal 5 2 5 3 18" xfId="5820" xr:uid="{00000000-0005-0000-0000-000099160000}"/>
    <cellStyle name="Normal 5 2 5 3 19" xfId="5821" xr:uid="{00000000-0005-0000-0000-00009A160000}"/>
    <cellStyle name="Normal 5 2 5 3 2" xfId="5822" xr:uid="{00000000-0005-0000-0000-00009B160000}"/>
    <cellStyle name="Normal 5 2 5 3 2 2" xfId="5823" xr:uid="{00000000-0005-0000-0000-00009C160000}"/>
    <cellStyle name="Normal 5 2 5 3 2 2 2" xfId="5824" xr:uid="{00000000-0005-0000-0000-00009D160000}"/>
    <cellStyle name="Normal 5 2 5 3 2 2 3" xfId="5825" xr:uid="{00000000-0005-0000-0000-00009E160000}"/>
    <cellStyle name="Normal 5 2 5 3 2 3" xfId="5826" xr:uid="{00000000-0005-0000-0000-00009F160000}"/>
    <cellStyle name="Normal 5 2 5 3 2 3 2" xfId="5827" xr:uid="{00000000-0005-0000-0000-0000A0160000}"/>
    <cellStyle name="Normal 5 2 5 3 2 3 3" xfId="5828" xr:uid="{00000000-0005-0000-0000-0000A1160000}"/>
    <cellStyle name="Normal 5 2 5 3 2 4" xfId="5829" xr:uid="{00000000-0005-0000-0000-0000A2160000}"/>
    <cellStyle name="Normal 5 2 5 3 2 5" xfId="5830" xr:uid="{00000000-0005-0000-0000-0000A3160000}"/>
    <cellStyle name="Normal 5 2 5 3 3" xfId="5831" xr:uid="{00000000-0005-0000-0000-0000A4160000}"/>
    <cellStyle name="Normal 5 2 5 3 3 2" xfId="5832" xr:uid="{00000000-0005-0000-0000-0000A5160000}"/>
    <cellStyle name="Normal 5 2 5 3 3 3" xfId="5833" xr:uid="{00000000-0005-0000-0000-0000A6160000}"/>
    <cellStyle name="Normal 5 2 5 3 3 4" xfId="5834" xr:uid="{00000000-0005-0000-0000-0000A7160000}"/>
    <cellStyle name="Normal 5 2 5 3 3 5" xfId="5835" xr:uid="{00000000-0005-0000-0000-0000A8160000}"/>
    <cellStyle name="Normal 5 2 5 3 4" xfId="5836" xr:uid="{00000000-0005-0000-0000-0000A9160000}"/>
    <cellStyle name="Normal 5 2 5 3 4 2" xfId="5837" xr:uid="{00000000-0005-0000-0000-0000AA160000}"/>
    <cellStyle name="Normal 5 2 5 3 4 3" xfId="5838" xr:uid="{00000000-0005-0000-0000-0000AB160000}"/>
    <cellStyle name="Normal 5 2 5 3 5" xfId="5839" xr:uid="{00000000-0005-0000-0000-0000AC160000}"/>
    <cellStyle name="Normal 5 2 5 3 5 2" xfId="5840" xr:uid="{00000000-0005-0000-0000-0000AD160000}"/>
    <cellStyle name="Normal 5 2 5 3 5 3" xfId="5841" xr:uid="{00000000-0005-0000-0000-0000AE160000}"/>
    <cellStyle name="Normal 5 2 5 3 6" xfId="5842" xr:uid="{00000000-0005-0000-0000-0000AF160000}"/>
    <cellStyle name="Normal 5 2 5 3 7" xfId="5843" xr:uid="{00000000-0005-0000-0000-0000B0160000}"/>
    <cellStyle name="Normal 5 2 5 3 8" xfId="5844" xr:uid="{00000000-0005-0000-0000-0000B1160000}"/>
    <cellStyle name="Normal 5 2 5 3 9" xfId="5845" xr:uid="{00000000-0005-0000-0000-0000B2160000}"/>
    <cellStyle name="Normal 5 2 5 4" xfId="5846" xr:uid="{00000000-0005-0000-0000-0000B3160000}"/>
    <cellStyle name="Normal 5 2 5 4 2" xfId="5847" xr:uid="{00000000-0005-0000-0000-0000B4160000}"/>
    <cellStyle name="Normal 5 2 5 4 2 2" xfId="5848" xr:uid="{00000000-0005-0000-0000-0000B5160000}"/>
    <cellStyle name="Normal 5 2 5 4 2 3" xfId="5849" xr:uid="{00000000-0005-0000-0000-0000B6160000}"/>
    <cellStyle name="Normal 5 2 5 4 2 4" xfId="5850" xr:uid="{00000000-0005-0000-0000-0000B7160000}"/>
    <cellStyle name="Normal 5 2 5 4 2 5" xfId="5851" xr:uid="{00000000-0005-0000-0000-0000B8160000}"/>
    <cellStyle name="Normal 5 2 5 4 3" xfId="5852" xr:uid="{00000000-0005-0000-0000-0000B9160000}"/>
    <cellStyle name="Normal 5 2 5 4 3 2" xfId="5853" xr:uid="{00000000-0005-0000-0000-0000BA160000}"/>
    <cellStyle name="Normal 5 2 5 4 3 3" xfId="5854" xr:uid="{00000000-0005-0000-0000-0000BB160000}"/>
    <cellStyle name="Normal 5 2 5 4 4" xfId="5855" xr:uid="{00000000-0005-0000-0000-0000BC160000}"/>
    <cellStyle name="Normal 5 2 5 4 4 2" xfId="5856" xr:uid="{00000000-0005-0000-0000-0000BD160000}"/>
    <cellStyle name="Normal 5 2 5 4 4 3" xfId="5857" xr:uid="{00000000-0005-0000-0000-0000BE160000}"/>
    <cellStyle name="Normal 5 2 5 4 5" xfId="5858" xr:uid="{00000000-0005-0000-0000-0000BF160000}"/>
    <cellStyle name="Normal 5 2 5 4 6" xfId="5859" xr:uid="{00000000-0005-0000-0000-0000C0160000}"/>
    <cellStyle name="Normal 5 2 5 5" xfId="5860" xr:uid="{00000000-0005-0000-0000-0000C1160000}"/>
    <cellStyle name="Normal 5 2 5 5 2" xfId="5861" xr:uid="{00000000-0005-0000-0000-0000C2160000}"/>
    <cellStyle name="Normal 5 2 5 5 2 2" xfId="5862" xr:uid="{00000000-0005-0000-0000-0000C3160000}"/>
    <cellStyle name="Normal 5 2 5 5 2 3" xfId="5863" xr:uid="{00000000-0005-0000-0000-0000C4160000}"/>
    <cellStyle name="Normal 5 2 5 5 2 4" xfId="5864" xr:uid="{00000000-0005-0000-0000-0000C5160000}"/>
    <cellStyle name="Normal 5 2 5 5 2 5" xfId="5865" xr:uid="{00000000-0005-0000-0000-0000C6160000}"/>
    <cellStyle name="Normal 5 2 5 5 3" xfId="5866" xr:uid="{00000000-0005-0000-0000-0000C7160000}"/>
    <cellStyle name="Normal 5 2 5 5 3 2" xfId="5867" xr:uid="{00000000-0005-0000-0000-0000C8160000}"/>
    <cellStyle name="Normal 5 2 5 5 3 3" xfId="5868" xr:uid="{00000000-0005-0000-0000-0000C9160000}"/>
    <cellStyle name="Normal 5 2 5 5 4" xfId="5869" xr:uid="{00000000-0005-0000-0000-0000CA160000}"/>
    <cellStyle name="Normal 5 2 5 5 4 2" xfId="5870" xr:uid="{00000000-0005-0000-0000-0000CB160000}"/>
    <cellStyle name="Normal 5 2 5 5 4 3" xfId="5871" xr:uid="{00000000-0005-0000-0000-0000CC160000}"/>
    <cellStyle name="Normal 5 2 5 5 5" xfId="5872" xr:uid="{00000000-0005-0000-0000-0000CD160000}"/>
    <cellStyle name="Normal 5 2 5 5 6" xfId="5873" xr:uid="{00000000-0005-0000-0000-0000CE160000}"/>
    <cellStyle name="Normal 5 2 5 6" xfId="5874" xr:uid="{00000000-0005-0000-0000-0000CF160000}"/>
    <cellStyle name="Normal 5 2 5 6 2" xfId="5875" xr:uid="{00000000-0005-0000-0000-0000D0160000}"/>
    <cellStyle name="Normal 5 2 5 6 2 2" xfId="5876" xr:uid="{00000000-0005-0000-0000-0000D1160000}"/>
    <cellStyle name="Normal 5 2 5 6 2 3" xfId="5877" xr:uid="{00000000-0005-0000-0000-0000D2160000}"/>
    <cellStyle name="Normal 5 2 5 6 2 4" xfId="5878" xr:uid="{00000000-0005-0000-0000-0000D3160000}"/>
    <cellStyle name="Normal 5 2 5 6 2 5" xfId="5879" xr:uid="{00000000-0005-0000-0000-0000D4160000}"/>
    <cellStyle name="Normal 5 2 5 6 3" xfId="5880" xr:uid="{00000000-0005-0000-0000-0000D5160000}"/>
    <cellStyle name="Normal 5 2 5 6 3 2" xfId="5881" xr:uid="{00000000-0005-0000-0000-0000D6160000}"/>
    <cellStyle name="Normal 5 2 5 6 3 3" xfId="5882" xr:uid="{00000000-0005-0000-0000-0000D7160000}"/>
    <cellStyle name="Normal 5 2 5 6 4" xfId="5883" xr:uid="{00000000-0005-0000-0000-0000D8160000}"/>
    <cellStyle name="Normal 5 2 5 6 4 2" xfId="5884" xr:uid="{00000000-0005-0000-0000-0000D9160000}"/>
    <cellStyle name="Normal 5 2 5 6 4 3" xfId="5885" xr:uid="{00000000-0005-0000-0000-0000DA160000}"/>
    <cellStyle name="Normal 5 2 5 6 5" xfId="5886" xr:uid="{00000000-0005-0000-0000-0000DB160000}"/>
    <cellStyle name="Normal 5 2 5 6 6" xfId="5887" xr:uid="{00000000-0005-0000-0000-0000DC160000}"/>
    <cellStyle name="Normal 5 2 5 7" xfId="5888" xr:uid="{00000000-0005-0000-0000-0000DD160000}"/>
    <cellStyle name="Normal 5 2 5 7 2" xfId="5889" xr:uid="{00000000-0005-0000-0000-0000DE160000}"/>
    <cellStyle name="Normal 5 2 5 7 2 2" xfId="5890" xr:uid="{00000000-0005-0000-0000-0000DF160000}"/>
    <cellStyle name="Normal 5 2 5 7 2 3" xfId="5891" xr:uid="{00000000-0005-0000-0000-0000E0160000}"/>
    <cellStyle name="Normal 5 2 5 7 3" xfId="5892" xr:uid="{00000000-0005-0000-0000-0000E1160000}"/>
    <cellStyle name="Normal 5 2 5 7 3 2" xfId="5893" xr:uid="{00000000-0005-0000-0000-0000E2160000}"/>
    <cellStyle name="Normal 5 2 5 7 3 3" xfId="5894" xr:uid="{00000000-0005-0000-0000-0000E3160000}"/>
    <cellStyle name="Normal 5 2 5 7 4" xfId="5895" xr:uid="{00000000-0005-0000-0000-0000E4160000}"/>
    <cellStyle name="Normal 5 2 5 7 4 2" xfId="5896" xr:uid="{00000000-0005-0000-0000-0000E5160000}"/>
    <cellStyle name="Normal 5 2 5 7 5" xfId="5897" xr:uid="{00000000-0005-0000-0000-0000E6160000}"/>
    <cellStyle name="Normal 5 2 5 7 6" xfId="5898" xr:uid="{00000000-0005-0000-0000-0000E7160000}"/>
    <cellStyle name="Normal 5 2 5 8" xfId="5899" xr:uid="{00000000-0005-0000-0000-0000E8160000}"/>
    <cellStyle name="Normal 5 2 5 8 2" xfId="5900" xr:uid="{00000000-0005-0000-0000-0000E9160000}"/>
    <cellStyle name="Normal 5 2 5 8 3" xfId="5901" xr:uid="{00000000-0005-0000-0000-0000EA160000}"/>
    <cellStyle name="Normal 5 2 5 8 4" xfId="5902" xr:uid="{00000000-0005-0000-0000-0000EB160000}"/>
    <cellStyle name="Normal 5 2 5 8 5" xfId="5903" xr:uid="{00000000-0005-0000-0000-0000EC160000}"/>
    <cellStyle name="Normal 5 2 5 9" xfId="5904" xr:uid="{00000000-0005-0000-0000-0000ED160000}"/>
    <cellStyle name="Normal 5 2 5 9 2" xfId="5905" xr:uid="{00000000-0005-0000-0000-0000EE160000}"/>
    <cellStyle name="Normal 5 2 5 9 3" xfId="5906" xr:uid="{00000000-0005-0000-0000-0000EF160000}"/>
    <cellStyle name="Normal 5 2 5_10070" xfId="5907" xr:uid="{00000000-0005-0000-0000-0000F0160000}"/>
    <cellStyle name="Normal 5 2 6" xfId="5908" xr:uid="{00000000-0005-0000-0000-0000F1160000}"/>
    <cellStyle name="Normal 5 2 6 2" xfId="5909" xr:uid="{00000000-0005-0000-0000-0000F2160000}"/>
    <cellStyle name="Normal 5 2 6 2 2" xfId="5910" xr:uid="{00000000-0005-0000-0000-0000F3160000}"/>
    <cellStyle name="Normal 5 2 6 2 3" xfId="5911" xr:uid="{00000000-0005-0000-0000-0000F4160000}"/>
    <cellStyle name="Normal 5 2 6 3" xfId="5912" xr:uid="{00000000-0005-0000-0000-0000F5160000}"/>
    <cellStyle name="Normal 5 2 6 3 2" xfId="5913" xr:uid="{00000000-0005-0000-0000-0000F6160000}"/>
    <cellStyle name="Normal 5 2 6 3 3" xfId="5914" xr:uid="{00000000-0005-0000-0000-0000F7160000}"/>
    <cellStyle name="Normal 5 2 6 4" xfId="5915" xr:uid="{00000000-0005-0000-0000-0000F8160000}"/>
    <cellStyle name="Normal 5 2 6 5" xfId="5916" xr:uid="{00000000-0005-0000-0000-0000F9160000}"/>
    <cellStyle name="Normal 5 2 7" xfId="5917" xr:uid="{00000000-0005-0000-0000-0000FA160000}"/>
    <cellStyle name="Normal 5 2 7 2" xfId="5918" xr:uid="{00000000-0005-0000-0000-0000FB160000}"/>
    <cellStyle name="Normal 5 2 7 3" xfId="5919" xr:uid="{00000000-0005-0000-0000-0000FC160000}"/>
    <cellStyle name="Normal 5 2 7 4" xfId="5920" xr:uid="{00000000-0005-0000-0000-0000FD160000}"/>
    <cellStyle name="Normal 5 2 7 5" xfId="5921" xr:uid="{00000000-0005-0000-0000-0000FE160000}"/>
    <cellStyle name="Normal 5 2 8" xfId="5922" xr:uid="{00000000-0005-0000-0000-0000FF160000}"/>
    <cellStyle name="Normal 5 2 9" xfId="5923" xr:uid="{00000000-0005-0000-0000-000000170000}"/>
    <cellStyle name="Normal 5 3" xfId="5924" xr:uid="{00000000-0005-0000-0000-000001170000}"/>
    <cellStyle name="Normal 5 3 2" xfId="5925" xr:uid="{00000000-0005-0000-0000-000002170000}"/>
    <cellStyle name="Normal 5 3 2 2" xfId="5926" xr:uid="{00000000-0005-0000-0000-000003170000}"/>
    <cellStyle name="Normal 5 3 2 2 2" xfId="5927" xr:uid="{00000000-0005-0000-0000-000004170000}"/>
    <cellStyle name="Normal 5 3 2 2 2 2" xfId="5928" xr:uid="{00000000-0005-0000-0000-000005170000}"/>
    <cellStyle name="Normal 5 3 2 2 2 2 2" xfId="5929" xr:uid="{00000000-0005-0000-0000-000006170000}"/>
    <cellStyle name="Normal 5 3 2 2 2 3" xfId="5930" xr:uid="{00000000-0005-0000-0000-000007170000}"/>
    <cellStyle name="Normal 5 3 2 2 2 3 2" xfId="5931" xr:uid="{00000000-0005-0000-0000-000008170000}"/>
    <cellStyle name="Normal 5 3 2 2 2 4" xfId="5932" xr:uid="{00000000-0005-0000-0000-000009170000}"/>
    <cellStyle name="Normal 5 3 2 2 3" xfId="5933" xr:uid="{00000000-0005-0000-0000-00000A170000}"/>
    <cellStyle name="Normal 5 3 2 2 3 2" xfId="5934" xr:uid="{00000000-0005-0000-0000-00000B170000}"/>
    <cellStyle name="Normal 5 3 2 2 4" xfId="5935" xr:uid="{00000000-0005-0000-0000-00000C170000}"/>
    <cellStyle name="Normal 5 3 2 2 4 2" xfId="5936" xr:uid="{00000000-0005-0000-0000-00000D170000}"/>
    <cellStyle name="Normal 5 3 2 2 5" xfId="5937" xr:uid="{00000000-0005-0000-0000-00000E170000}"/>
    <cellStyle name="Normal 5 3 2 3" xfId="5938" xr:uid="{00000000-0005-0000-0000-00000F170000}"/>
    <cellStyle name="Normal 5 3 2 3 2" xfId="5939" xr:uid="{00000000-0005-0000-0000-000010170000}"/>
    <cellStyle name="Normal 5 3 2 3 2 2" xfId="5940" xr:uid="{00000000-0005-0000-0000-000011170000}"/>
    <cellStyle name="Normal 5 3 2 3 3" xfId="5941" xr:uid="{00000000-0005-0000-0000-000012170000}"/>
    <cellStyle name="Normal 5 3 2 3 3 2" xfId="5942" xr:uid="{00000000-0005-0000-0000-000013170000}"/>
    <cellStyle name="Normal 5 3 2 3 4" xfId="5943" xr:uid="{00000000-0005-0000-0000-000014170000}"/>
    <cellStyle name="Normal 5 3 2 4" xfId="5944" xr:uid="{00000000-0005-0000-0000-000015170000}"/>
    <cellStyle name="Normal 5 3 2 4 2" xfId="5945" xr:uid="{00000000-0005-0000-0000-000016170000}"/>
    <cellStyle name="Normal 5 3 2 5" xfId="5946" xr:uid="{00000000-0005-0000-0000-000017170000}"/>
    <cellStyle name="Normal 5 3 2 5 2" xfId="5947" xr:uid="{00000000-0005-0000-0000-000018170000}"/>
    <cellStyle name="Normal 5 3 2 6" xfId="5948" xr:uid="{00000000-0005-0000-0000-000019170000}"/>
    <cellStyle name="Normal 5 3 3" xfId="5949" xr:uid="{00000000-0005-0000-0000-00001A170000}"/>
    <cellStyle name="Normal 5 3 3 2" xfId="5950" xr:uid="{00000000-0005-0000-0000-00001B170000}"/>
    <cellStyle name="Normal 5 3 3 2 2" xfId="5951" xr:uid="{00000000-0005-0000-0000-00001C170000}"/>
    <cellStyle name="Normal 5 3 3 2 2 2" xfId="5952" xr:uid="{00000000-0005-0000-0000-00001D170000}"/>
    <cellStyle name="Normal 5 3 3 2 3" xfId="5953" xr:uid="{00000000-0005-0000-0000-00001E170000}"/>
    <cellStyle name="Normal 5 3 3 2 3 2" xfId="5954" xr:uid="{00000000-0005-0000-0000-00001F170000}"/>
    <cellStyle name="Normal 5 3 3 2 4" xfId="5955" xr:uid="{00000000-0005-0000-0000-000020170000}"/>
    <cellStyle name="Normal 5 3 3 3" xfId="5956" xr:uid="{00000000-0005-0000-0000-000021170000}"/>
    <cellStyle name="Normal 5 3 3 3 2" xfId="5957" xr:uid="{00000000-0005-0000-0000-000022170000}"/>
    <cellStyle name="Normal 5 3 3 4" xfId="5958" xr:uid="{00000000-0005-0000-0000-000023170000}"/>
    <cellStyle name="Normal 5 3 3 4 2" xfId="5959" xr:uid="{00000000-0005-0000-0000-000024170000}"/>
    <cellStyle name="Normal 5 3 3 5" xfId="5960" xr:uid="{00000000-0005-0000-0000-000025170000}"/>
    <cellStyle name="Normal 5 3 4" xfId="5961" xr:uid="{00000000-0005-0000-0000-000026170000}"/>
    <cellStyle name="Normal 5 3 4 2" xfId="5962" xr:uid="{00000000-0005-0000-0000-000027170000}"/>
    <cellStyle name="Normal 5 3 4 2 2" xfId="5963" xr:uid="{00000000-0005-0000-0000-000028170000}"/>
    <cellStyle name="Normal 5 3 4 3" xfId="5964" xr:uid="{00000000-0005-0000-0000-000029170000}"/>
    <cellStyle name="Normal 5 3 4 3 2" xfId="5965" xr:uid="{00000000-0005-0000-0000-00002A170000}"/>
    <cellStyle name="Normal 5 3 4 4" xfId="5966" xr:uid="{00000000-0005-0000-0000-00002B170000}"/>
    <cellStyle name="Normal 5 3 5" xfId="5967" xr:uid="{00000000-0005-0000-0000-00002C170000}"/>
    <cellStyle name="Normal 5 3 5 2" xfId="5968" xr:uid="{00000000-0005-0000-0000-00002D170000}"/>
    <cellStyle name="Normal 5 3 6" xfId="5969" xr:uid="{00000000-0005-0000-0000-00002E170000}"/>
    <cellStyle name="Normal 5 3 6 2" xfId="5970" xr:uid="{00000000-0005-0000-0000-00002F170000}"/>
    <cellStyle name="Normal 5 3 7" xfId="5971" xr:uid="{00000000-0005-0000-0000-000030170000}"/>
    <cellStyle name="Normal 5 4" xfId="5972" xr:uid="{00000000-0005-0000-0000-000031170000}"/>
    <cellStyle name="Normal 5 4 2" xfId="5973" xr:uid="{00000000-0005-0000-0000-000032170000}"/>
    <cellStyle name="Normal 5 4 2 2" xfId="5974" xr:uid="{00000000-0005-0000-0000-000033170000}"/>
    <cellStyle name="Normal 5 4 2 2 2" xfId="5975" xr:uid="{00000000-0005-0000-0000-000034170000}"/>
    <cellStyle name="Normal 5 4 2 2 2 2" xfId="5976" xr:uid="{00000000-0005-0000-0000-000035170000}"/>
    <cellStyle name="Normal 5 4 2 2 2 2 2" xfId="5977" xr:uid="{00000000-0005-0000-0000-000036170000}"/>
    <cellStyle name="Normal 5 4 2 2 2 3" xfId="5978" xr:uid="{00000000-0005-0000-0000-000037170000}"/>
    <cellStyle name="Normal 5 4 2 2 2 3 2" xfId="5979" xr:uid="{00000000-0005-0000-0000-000038170000}"/>
    <cellStyle name="Normal 5 4 2 2 2 4" xfId="5980" xr:uid="{00000000-0005-0000-0000-000039170000}"/>
    <cellStyle name="Normal 5 4 2 2 3" xfId="5981" xr:uid="{00000000-0005-0000-0000-00003A170000}"/>
    <cellStyle name="Normal 5 4 2 2 3 2" xfId="5982" xr:uid="{00000000-0005-0000-0000-00003B170000}"/>
    <cellStyle name="Normal 5 4 2 2 4" xfId="5983" xr:uid="{00000000-0005-0000-0000-00003C170000}"/>
    <cellStyle name="Normal 5 4 2 2 4 2" xfId="5984" xr:uid="{00000000-0005-0000-0000-00003D170000}"/>
    <cellStyle name="Normal 5 4 2 2 5" xfId="5985" xr:uid="{00000000-0005-0000-0000-00003E170000}"/>
    <cellStyle name="Normal 5 4 2 3" xfId="5986" xr:uid="{00000000-0005-0000-0000-00003F170000}"/>
    <cellStyle name="Normal 5 4 2 3 2" xfId="5987" xr:uid="{00000000-0005-0000-0000-000040170000}"/>
    <cellStyle name="Normal 5 4 2 3 2 2" xfId="5988" xr:uid="{00000000-0005-0000-0000-000041170000}"/>
    <cellStyle name="Normal 5 4 2 3 3" xfId="5989" xr:uid="{00000000-0005-0000-0000-000042170000}"/>
    <cellStyle name="Normal 5 4 2 3 3 2" xfId="5990" xr:uid="{00000000-0005-0000-0000-000043170000}"/>
    <cellStyle name="Normal 5 4 2 3 4" xfId="5991" xr:uid="{00000000-0005-0000-0000-000044170000}"/>
    <cellStyle name="Normal 5 4 2 4" xfId="5992" xr:uid="{00000000-0005-0000-0000-000045170000}"/>
    <cellStyle name="Normal 5 4 2 4 2" xfId="5993" xr:uid="{00000000-0005-0000-0000-000046170000}"/>
    <cellStyle name="Normal 5 4 2 5" xfId="5994" xr:uid="{00000000-0005-0000-0000-000047170000}"/>
    <cellStyle name="Normal 5 4 2 5 2" xfId="5995" xr:uid="{00000000-0005-0000-0000-000048170000}"/>
    <cellStyle name="Normal 5 4 2 6" xfId="5996" xr:uid="{00000000-0005-0000-0000-000049170000}"/>
    <cellStyle name="Normal 5 4 3" xfId="5997" xr:uid="{00000000-0005-0000-0000-00004A170000}"/>
    <cellStyle name="Normal 5 4 3 2" xfId="5998" xr:uid="{00000000-0005-0000-0000-00004B170000}"/>
    <cellStyle name="Normal 5 4 3 2 2" xfId="5999" xr:uid="{00000000-0005-0000-0000-00004C170000}"/>
    <cellStyle name="Normal 5 4 3 2 2 2" xfId="6000" xr:uid="{00000000-0005-0000-0000-00004D170000}"/>
    <cellStyle name="Normal 5 4 3 2 3" xfId="6001" xr:uid="{00000000-0005-0000-0000-00004E170000}"/>
    <cellStyle name="Normal 5 4 3 2 3 2" xfId="6002" xr:uid="{00000000-0005-0000-0000-00004F170000}"/>
    <cellStyle name="Normal 5 4 3 2 4" xfId="6003" xr:uid="{00000000-0005-0000-0000-000050170000}"/>
    <cellStyle name="Normal 5 4 3 3" xfId="6004" xr:uid="{00000000-0005-0000-0000-000051170000}"/>
    <cellStyle name="Normal 5 4 3 3 2" xfId="6005" xr:uid="{00000000-0005-0000-0000-000052170000}"/>
    <cellStyle name="Normal 5 4 3 4" xfId="6006" xr:uid="{00000000-0005-0000-0000-000053170000}"/>
    <cellStyle name="Normal 5 4 3 4 2" xfId="6007" xr:uid="{00000000-0005-0000-0000-000054170000}"/>
    <cellStyle name="Normal 5 4 3 5" xfId="6008" xr:uid="{00000000-0005-0000-0000-000055170000}"/>
    <cellStyle name="Normal 5 4 4" xfId="6009" xr:uid="{00000000-0005-0000-0000-000056170000}"/>
    <cellStyle name="Normal 5 4 4 2" xfId="6010" xr:uid="{00000000-0005-0000-0000-000057170000}"/>
    <cellStyle name="Normal 5 4 4 2 2" xfId="6011" xr:uid="{00000000-0005-0000-0000-000058170000}"/>
    <cellStyle name="Normal 5 4 4 3" xfId="6012" xr:uid="{00000000-0005-0000-0000-000059170000}"/>
    <cellStyle name="Normal 5 4 4 3 2" xfId="6013" xr:uid="{00000000-0005-0000-0000-00005A170000}"/>
    <cellStyle name="Normal 5 4 4 4" xfId="6014" xr:uid="{00000000-0005-0000-0000-00005B170000}"/>
    <cellStyle name="Normal 5 4 5" xfId="6015" xr:uid="{00000000-0005-0000-0000-00005C170000}"/>
    <cellStyle name="Normal 5 4 5 2" xfId="6016" xr:uid="{00000000-0005-0000-0000-00005D170000}"/>
    <cellStyle name="Normal 5 4 6" xfId="6017" xr:uid="{00000000-0005-0000-0000-00005E170000}"/>
    <cellStyle name="Normal 5 4 6 2" xfId="6018" xr:uid="{00000000-0005-0000-0000-00005F170000}"/>
    <cellStyle name="Normal 5 4 7" xfId="6019" xr:uid="{00000000-0005-0000-0000-000060170000}"/>
    <cellStyle name="Normal 5 5" xfId="6020" xr:uid="{00000000-0005-0000-0000-000061170000}"/>
    <cellStyle name="Normal 5 5 2" xfId="6021" xr:uid="{00000000-0005-0000-0000-000062170000}"/>
    <cellStyle name="Normal 5 5 2 2" xfId="6022" xr:uid="{00000000-0005-0000-0000-000063170000}"/>
    <cellStyle name="Normal 5 5 2 2 2" xfId="6023" xr:uid="{00000000-0005-0000-0000-000064170000}"/>
    <cellStyle name="Normal 5 5 2 2 2 2" xfId="6024" xr:uid="{00000000-0005-0000-0000-000065170000}"/>
    <cellStyle name="Normal 5 5 2 2 3" xfId="6025" xr:uid="{00000000-0005-0000-0000-000066170000}"/>
    <cellStyle name="Normal 5 5 2 2 3 2" xfId="6026" xr:uid="{00000000-0005-0000-0000-000067170000}"/>
    <cellStyle name="Normal 5 5 2 2 4" xfId="6027" xr:uid="{00000000-0005-0000-0000-000068170000}"/>
    <cellStyle name="Normal 5 5 2 3" xfId="6028" xr:uid="{00000000-0005-0000-0000-000069170000}"/>
    <cellStyle name="Normal 5 5 2 3 2" xfId="6029" xr:uid="{00000000-0005-0000-0000-00006A170000}"/>
    <cellStyle name="Normal 5 5 2 4" xfId="6030" xr:uid="{00000000-0005-0000-0000-00006B170000}"/>
    <cellStyle name="Normal 5 5 2 4 2" xfId="6031" xr:uid="{00000000-0005-0000-0000-00006C170000}"/>
    <cellStyle name="Normal 5 5 2 5" xfId="6032" xr:uid="{00000000-0005-0000-0000-00006D170000}"/>
    <cellStyle name="Normal 5 5 3" xfId="6033" xr:uid="{00000000-0005-0000-0000-00006E170000}"/>
    <cellStyle name="Normal 5 5 3 2" xfId="6034" xr:uid="{00000000-0005-0000-0000-00006F170000}"/>
    <cellStyle name="Normal 5 5 3 2 2" xfId="6035" xr:uid="{00000000-0005-0000-0000-000070170000}"/>
    <cellStyle name="Normal 5 5 3 3" xfId="6036" xr:uid="{00000000-0005-0000-0000-000071170000}"/>
    <cellStyle name="Normal 5 5 3 3 2" xfId="6037" xr:uid="{00000000-0005-0000-0000-000072170000}"/>
    <cellStyle name="Normal 5 5 3 4" xfId="6038" xr:uid="{00000000-0005-0000-0000-000073170000}"/>
    <cellStyle name="Normal 5 5 4" xfId="6039" xr:uid="{00000000-0005-0000-0000-000074170000}"/>
    <cellStyle name="Normal 5 5 4 2" xfId="6040" xr:uid="{00000000-0005-0000-0000-000075170000}"/>
    <cellStyle name="Normal 5 5 5" xfId="6041" xr:uid="{00000000-0005-0000-0000-000076170000}"/>
    <cellStyle name="Normal 5 5 5 2" xfId="6042" xr:uid="{00000000-0005-0000-0000-000077170000}"/>
    <cellStyle name="Normal 5 5 6" xfId="6043" xr:uid="{00000000-0005-0000-0000-000078170000}"/>
    <cellStyle name="Normal 5 6" xfId="6044" xr:uid="{00000000-0005-0000-0000-000079170000}"/>
    <cellStyle name="Normal 5 6 2" xfId="6045" xr:uid="{00000000-0005-0000-0000-00007A170000}"/>
    <cellStyle name="Normal 5 6 2 2" xfId="6046" xr:uid="{00000000-0005-0000-0000-00007B170000}"/>
    <cellStyle name="Normal 5 6 2 2 2" xfId="6047" xr:uid="{00000000-0005-0000-0000-00007C170000}"/>
    <cellStyle name="Normal 5 6 2 3" xfId="6048" xr:uid="{00000000-0005-0000-0000-00007D170000}"/>
    <cellStyle name="Normal 5 6 2 3 2" xfId="6049" xr:uid="{00000000-0005-0000-0000-00007E170000}"/>
    <cellStyle name="Normal 5 6 2 4" xfId="6050" xr:uid="{00000000-0005-0000-0000-00007F170000}"/>
    <cellStyle name="Normal 5 6 3" xfId="6051" xr:uid="{00000000-0005-0000-0000-000080170000}"/>
    <cellStyle name="Normal 5 6 3 2" xfId="6052" xr:uid="{00000000-0005-0000-0000-000081170000}"/>
    <cellStyle name="Normal 5 6 4" xfId="6053" xr:uid="{00000000-0005-0000-0000-000082170000}"/>
    <cellStyle name="Normal 5 6 4 2" xfId="6054" xr:uid="{00000000-0005-0000-0000-000083170000}"/>
    <cellStyle name="Normal 5 6 5" xfId="6055" xr:uid="{00000000-0005-0000-0000-000084170000}"/>
    <cellStyle name="Normal 5 7" xfId="6056" xr:uid="{00000000-0005-0000-0000-000085170000}"/>
    <cellStyle name="Normal 5 7 2" xfId="6057" xr:uid="{00000000-0005-0000-0000-000086170000}"/>
    <cellStyle name="Normal 5 7 2 2" xfId="6058" xr:uid="{00000000-0005-0000-0000-000087170000}"/>
    <cellStyle name="Normal 5 7 3" xfId="6059" xr:uid="{00000000-0005-0000-0000-000088170000}"/>
    <cellStyle name="Normal 5 7 3 2" xfId="6060" xr:uid="{00000000-0005-0000-0000-000089170000}"/>
    <cellStyle name="Normal 5 7 4" xfId="6061" xr:uid="{00000000-0005-0000-0000-00008A170000}"/>
    <cellStyle name="Normal 5 8" xfId="6062" xr:uid="{00000000-0005-0000-0000-00008B170000}"/>
    <cellStyle name="Normal 5 8 2" xfId="6063" xr:uid="{00000000-0005-0000-0000-00008C170000}"/>
    <cellStyle name="Normal 5 9" xfId="6064" xr:uid="{00000000-0005-0000-0000-00008D170000}"/>
    <cellStyle name="Normal 5 9 2" xfId="6065" xr:uid="{00000000-0005-0000-0000-00008E170000}"/>
    <cellStyle name="Normal 5_10051" xfId="6066" xr:uid="{00000000-0005-0000-0000-00008F170000}"/>
    <cellStyle name="Normal 50" xfId="6067" xr:uid="{00000000-0005-0000-0000-000090170000}"/>
    <cellStyle name="Normal 50 2" xfId="6068" xr:uid="{00000000-0005-0000-0000-000091170000}"/>
    <cellStyle name="Normal 50 2 2" xfId="6069" xr:uid="{00000000-0005-0000-0000-000092170000}"/>
    <cellStyle name="Normal 50 2 2 2" xfId="6070" xr:uid="{00000000-0005-0000-0000-000093170000}"/>
    <cellStyle name="Normal 50 2 2 2 2" xfId="6071" xr:uid="{00000000-0005-0000-0000-000094170000}"/>
    <cellStyle name="Normal 50 2 2 2 2 2" xfId="6072" xr:uid="{00000000-0005-0000-0000-000095170000}"/>
    <cellStyle name="Normal 50 2 2 2 3" xfId="6073" xr:uid="{00000000-0005-0000-0000-000096170000}"/>
    <cellStyle name="Normal 50 2 2 2 3 2" xfId="6074" xr:uid="{00000000-0005-0000-0000-000097170000}"/>
    <cellStyle name="Normal 50 2 2 2 4" xfId="6075" xr:uid="{00000000-0005-0000-0000-000098170000}"/>
    <cellStyle name="Normal 50 2 2 3" xfId="6076" xr:uid="{00000000-0005-0000-0000-000099170000}"/>
    <cellStyle name="Normal 50 2 2 3 2" xfId="6077" xr:uid="{00000000-0005-0000-0000-00009A170000}"/>
    <cellStyle name="Normal 50 2 2 4" xfId="6078" xr:uid="{00000000-0005-0000-0000-00009B170000}"/>
    <cellStyle name="Normal 50 2 2 4 2" xfId="6079" xr:uid="{00000000-0005-0000-0000-00009C170000}"/>
    <cellStyle name="Normal 50 2 2 5" xfId="6080" xr:uid="{00000000-0005-0000-0000-00009D170000}"/>
    <cellStyle name="Normal 50 2 3" xfId="6081" xr:uid="{00000000-0005-0000-0000-00009E170000}"/>
    <cellStyle name="Normal 50 2 3 2" xfId="6082" xr:uid="{00000000-0005-0000-0000-00009F170000}"/>
    <cellStyle name="Normal 50 2 3 2 2" xfId="6083" xr:uid="{00000000-0005-0000-0000-0000A0170000}"/>
    <cellStyle name="Normal 50 2 3 3" xfId="6084" xr:uid="{00000000-0005-0000-0000-0000A1170000}"/>
    <cellStyle name="Normal 50 2 3 3 2" xfId="6085" xr:uid="{00000000-0005-0000-0000-0000A2170000}"/>
    <cellStyle name="Normal 50 2 3 4" xfId="6086" xr:uid="{00000000-0005-0000-0000-0000A3170000}"/>
    <cellStyle name="Normal 50 2 4" xfId="6087" xr:uid="{00000000-0005-0000-0000-0000A4170000}"/>
    <cellStyle name="Normal 50 2 4 2" xfId="6088" xr:uid="{00000000-0005-0000-0000-0000A5170000}"/>
    <cellStyle name="Normal 50 2 5" xfId="6089" xr:uid="{00000000-0005-0000-0000-0000A6170000}"/>
    <cellStyle name="Normal 50 2 5 2" xfId="6090" xr:uid="{00000000-0005-0000-0000-0000A7170000}"/>
    <cellStyle name="Normal 50 2 6" xfId="6091" xr:uid="{00000000-0005-0000-0000-0000A8170000}"/>
    <cellStyle name="Normal 50 3" xfId="6092" xr:uid="{00000000-0005-0000-0000-0000A9170000}"/>
    <cellStyle name="Normal 50 3 2" xfId="6093" xr:uid="{00000000-0005-0000-0000-0000AA170000}"/>
    <cellStyle name="Normal 50 3 2 2" xfId="6094" xr:uid="{00000000-0005-0000-0000-0000AB170000}"/>
    <cellStyle name="Normal 50 3 2 2 2" xfId="6095" xr:uid="{00000000-0005-0000-0000-0000AC170000}"/>
    <cellStyle name="Normal 50 3 2 3" xfId="6096" xr:uid="{00000000-0005-0000-0000-0000AD170000}"/>
    <cellStyle name="Normal 50 3 2 3 2" xfId="6097" xr:uid="{00000000-0005-0000-0000-0000AE170000}"/>
    <cellStyle name="Normal 50 3 2 4" xfId="6098" xr:uid="{00000000-0005-0000-0000-0000AF170000}"/>
    <cellStyle name="Normal 50 3 3" xfId="6099" xr:uid="{00000000-0005-0000-0000-0000B0170000}"/>
    <cellStyle name="Normal 50 3 3 2" xfId="6100" xr:uid="{00000000-0005-0000-0000-0000B1170000}"/>
    <cellStyle name="Normal 50 3 4" xfId="6101" xr:uid="{00000000-0005-0000-0000-0000B2170000}"/>
    <cellStyle name="Normal 50 3 4 2" xfId="6102" xr:uid="{00000000-0005-0000-0000-0000B3170000}"/>
    <cellStyle name="Normal 50 3 5" xfId="6103" xr:uid="{00000000-0005-0000-0000-0000B4170000}"/>
    <cellStyle name="Normal 50 4" xfId="6104" xr:uid="{00000000-0005-0000-0000-0000B5170000}"/>
    <cellStyle name="Normal 50 4 2" xfId="6105" xr:uid="{00000000-0005-0000-0000-0000B6170000}"/>
    <cellStyle name="Normal 50 4 2 2" xfId="6106" xr:uid="{00000000-0005-0000-0000-0000B7170000}"/>
    <cellStyle name="Normal 50 4 3" xfId="6107" xr:uid="{00000000-0005-0000-0000-0000B8170000}"/>
    <cellStyle name="Normal 50 4 3 2" xfId="6108" xr:uid="{00000000-0005-0000-0000-0000B9170000}"/>
    <cellStyle name="Normal 50 4 4" xfId="6109" xr:uid="{00000000-0005-0000-0000-0000BA170000}"/>
    <cellStyle name="Normal 50 5" xfId="6110" xr:uid="{00000000-0005-0000-0000-0000BB170000}"/>
    <cellStyle name="Normal 50 5 2" xfId="6111" xr:uid="{00000000-0005-0000-0000-0000BC170000}"/>
    <cellStyle name="Normal 50 6" xfId="6112" xr:uid="{00000000-0005-0000-0000-0000BD170000}"/>
    <cellStyle name="Normal 50 6 2" xfId="6113" xr:uid="{00000000-0005-0000-0000-0000BE170000}"/>
    <cellStyle name="Normal 50 7" xfId="6114" xr:uid="{00000000-0005-0000-0000-0000BF170000}"/>
    <cellStyle name="Normal 51" xfId="6115" xr:uid="{00000000-0005-0000-0000-0000C0170000}"/>
    <cellStyle name="Normal 51 2" xfId="6116" xr:uid="{00000000-0005-0000-0000-0000C1170000}"/>
    <cellStyle name="Normal 51 2 2" xfId="6117" xr:uid="{00000000-0005-0000-0000-0000C2170000}"/>
    <cellStyle name="Normal 51 2 2 2" xfId="6118" xr:uid="{00000000-0005-0000-0000-0000C3170000}"/>
    <cellStyle name="Normal 51 2 2 2 2" xfId="6119" xr:uid="{00000000-0005-0000-0000-0000C4170000}"/>
    <cellStyle name="Normal 51 2 2 2 2 2" xfId="6120" xr:uid="{00000000-0005-0000-0000-0000C5170000}"/>
    <cellStyle name="Normal 51 2 2 2 3" xfId="6121" xr:uid="{00000000-0005-0000-0000-0000C6170000}"/>
    <cellStyle name="Normal 51 2 2 2 3 2" xfId="6122" xr:uid="{00000000-0005-0000-0000-0000C7170000}"/>
    <cellStyle name="Normal 51 2 2 2 4" xfId="6123" xr:uid="{00000000-0005-0000-0000-0000C8170000}"/>
    <cellStyle name="Normal 51 2 2 3" xfId="6124" xr:uid="{00000000-0005-0000-0000-0000C9170000}"/>
    <cellStyle name="Normal 51 2 2 3 2" xfId="6125" xr:uid="{00000000-0005-0000-0000-0000CA170000}"/>
    <cellStyle name="Normal 51 2 2 4" xfId="6126" xr:uid="{00000000-0005-0000-0000-0000CB170000}"/>
    <cellStyle name="Normal 51 2 2 4 2" xfId="6127" xr:uid="{00000000-0005-0000-0000-0000CC170000}"/>
    <cellStyle name="Normal 51 2 2 5" xfId="6128" xr:uid="{00000000-0005-0000-0000-0000CD170000}"/>
    <cellStyle name="Normal 51 2 3" xfId="6129" xr:uid="{00000000-0005-0000-0000-0000CE170000}"/>
    <cellStyle name="Normal 51 2 3 2" xfId="6130" xr:uid="{00000000-0005-0000-0000-0000CF170000}"/>
    <cellStyle name="Normal 51 2 3 2 2" xfId="6131" xr:uid="{00000000-0005-0000-0000-0000D0170000}"/>
    <cellStyle name="Normal 51 2 3 3" xfId="6132" xr:uid="{00000000-0005-0000-0000-0000D1170000}"/>
    <cellStyle name="Normal 51 2 3 3 2" xfId="6133" xr:uid="{00000000-0005-0000-0000-0000D2170000}"/>
    <cellStyle name="Normal 51 2 3 4" xfId="6134" xr:uid="{00000000-0005-0000-0000-0000D3170000}"/>
    <cellStyle name="Normal 51 2 4" xfId="6135" xr:uid="{00000000-0005-0000-0000-0000D4170000}"/>
    <cellStyle name="Normal 51 2 4 2" xfId="6136" xr:uid="{00000000-0005-0000-0000-0000D5170000}"/>
    <cellStyle name="Normal 51 2 5" xfId="6137" xr:uid="{00000000-0005-0000-0000-0000D6170000}"/>
    <cellStyle name="Normal 51 2 5 2" xfId="6138" xr:uid="{00000000-0005-0000-0000-0000D7170000}"/>
    <cellStyle name="Normal 51 2 6" xfId="6139" xr:uid="{00000000-0005-0000-0000-0000D8170000}"/>
    <cellStyle name="Normal 51 3" xfId="6140" xr:uid="{00000000-0005-0000-0000-0000D9170000}"/>
    <cellStyle name="Normal 51 3 2" xfId="6141" xr:uid="{00000000-0005-0000-0000-0000DA170000}"/>
    <cellStyle name="Normal 51 3 2 2" xfId="6142" xr:uid="{00000000-0005-0000-0000-0000DB170000}"/>
    <cellStyle name="Normal 51 3 2 2 2" xfId="6143" xr:uid="{00000000-0005-0000-0000-0000DC170000}"/>
    <cellStyle name="Normal 51 3 2 3" xfId="6144" xr:uid="{00000000-0005-0000-0000-0000DD170000}"/>
    <cellStyle name="Normal 51 3 2 3 2" xfId="6145" xr:uid="{00000000-0005-0000-0000-0000DE170000}"/>
    <cellStyle name="Normal 51 3 2 4" xfId="6146" xr:uid="{00000000-0005-0000-0000-0000DF170000}"/>
    <cellStyle name="Normal 51 3 3" xfId="6147" xr:uid="{00000000-0005-0000-0000-0000E0170000}"/>
    <cellStyle name="Normal 51 3 3 2" xfId="6148" xr:uid="{00000000-0005-0000-0000-0000E1170000}"/>
    <cellStyle name="Normal 51 3 4" xfId="6149" xr:uid="{00000000-0005-0000-0000-0000E2170000}"/>
    <cellStyle name="Normal 51 3 4 2" xfId="6150" xr:uid="{00000000-0005-0000-0000-0000E3170000}"/>
    <cellStyle name="Normal 51 3 5" xfId="6151" xr:uid="{00000000-0005-0000-0000-0000E4170000}"/>
    <cellStyle name="Normal 51 4" xfId="6152" xr:uid="{00000000-0005-0000-0000-0000E5170000}"/>
    <cellStyle name="Normal 51 4 2" xfId="6153" xr:uid="{00000000-0005-0000-0000-0000E6170000}"/>
    <cellStyle name="Normal 51 4 2 2" xfId="6154" xr:uid="{00000000-0005-0000-0000-0000E7170000}"/>
    <cellStyle name="Normal 51 4 3" xfId="6155" xr:uid="{00000000-0005-0000-0000-0000E8170000}"/>
    <cellStyle name="Normal 51 4 3 2" xfId="6156" xr:uid="{00000000-0005-0000-0000-0000E9170000}"/>
    <cellStyle name="Normal 51 4 4" xfId="6157" xr:uid="{00000000-0005-0000-0000-0000EA170000}"/>
    <cellStyle name="Normal 51 5" xfId="6158" xr:uid="{00000000-0005-0000-0000-0000EB170000}"/>
    <cellStyle name="Normal 51 5 2" xfId="6159" xr:uid="{00000000-0005-0000-0000-0000EC170000}"/>
    <cellStyle name="Normal 51 6" xfId="6160" xr:uid="{00000000-0005-0000-0000-0000ED170000}"/>
    <cellStyle name="Normal 51 6 2" xfId="6161" xr:uid="{00000000-0005-0000-0000-0000EE170000}"/>
    <cellStyle name="Normal 51 7" xfId="6162" xr:uid="{00000000-0005-0000-0000-0000EF170000}"/>
    <cellStyle name="Normal 52" xfId="6163" xr:uid="{00000000-0005-0000-0000-0000F0170000}"/>
    <cellStyle name="Normal 52 2" xfId="6164" xr:uid="{00000000-0005-0000-0000-0000F1170000}"/>
    <cellStyle name="Normal 52 2 2" xfId="6165" xr:uid="{00000000-0005-0000-0000-0000F2170000}"/>
    <cellStyle name="Normal 52 2 2 2" xfId="6166" xr:uid="{00000000-0005-0000-0000-0000F3170000}"/>
    <cellStyle name="Normal 52 2 2 2 2" xfId="6167" xr:uid="{00000000-0005-0000-0000-0000F4170000}"/>
    <cellStyle name="Normal 52 2 2 2 2 2" xfId="6168" xr:uid="{00000000-0005-0000-0000-0000F5170000}"/>
    <cellStyle name="Normal 52 2 2 2 3" xfId="6169" xr:uid="{00000000-0005-0000-0000-0000F6170000}"/>
    <cellStyle name="Normal 52 2 2 2 3 2" xfId="6170" xr:uid="{00000000-0005-0000-0000-0000F7170000}"/>
    <cellStyle name="Normal 52 2 2 2 4" xfId="6171" xr:uid="{00000000-0005-0000-0000-0000F8170000}"/>
    <cellStyle name="Normal 52 2 2 3" xfId="6172" xr:uid="{00000000-0005-0000-0000-0000F9170000}"/>
    <cellStyle name="Normal 52 2 2 3 2" xfId="6173" xr:uid="{00000000-0005-0000-0000-0000FA170000}"/>
    <cellStyle name="Normal 52 2 2 4" xfId="6174" xr:uid="{00000000-0005-0000-0000-0000FB170000}"/>
    <cellStyle name="Normal 52 2 2 4 2" xfId="6175" xr:uid="{00000000-0005-0000-0000-0000FC170000}"/>
    <cellStyle name="Normal 52 2 2 5" xfId="6176" xr:uid="{00000000-0005-0000-0000-0000FD170000}"/>
    <cellStyle name="Normal 52 2 3" xfId="6177" xr:uid="{00000000-0005-0000-0000-0000FE170000}"/>
    <cellStyle name="Normal 52 2 3 2" xfId="6178" xr:uid="{00000000-0005-0000-0000-0000FF170000}"/>
    <cellStyle name="Normal 52 2 3 2 2" xfId="6179" xr:uid="{00000000-0005-0000-0000-000000180000}"/>
    <cellStyle name="Normal 52 2 3 3" xfId="6180" xr:uid="{00000000-0005-0000-0000-000001180000}"/>
    <cellStyle name="Normal 52 2 3 3 2" xfId="6181" xr:uid="{00000000-0005-0000-0000-000002180000}"/>
    <cellStyle name="Normal 52 2 3 4" xfId="6182" xr:uid="{00000000-0005-0000-0000-000003180000}"/>
    <cellStyle name="Normal 52 2 4" xfId="6183" xr:uid="{00000000-0005-0000-0000-000004180000}"/>
    <cellStyle name="Normal 52 2 4 2" xfId="6184" xr:uid="{00000000-0005-0000-0000-000005180000}"/>
    <cellStyle name="Normal 52 2 5" xfId="6185" xr:uid="{00000000-0005-0000-0000-000006180000}"/>
    <cellStyle name="Normal 52 2 5 2" xfId="6186" xr:uid="{00000000-0005-0000-0000-000007180000}"/>
    <cellStyle name="Normal 52 2 6" xfId="6187" xr:uid="{00000000-0005-0000-0000-000008180000}"/>
    <cellStyle name="Normal 52 3" xfId="6188" xr:uid="{00000000-0005-0000-0000-000009180000}"/>
    <cellStyle name="Normal 52 3 2" xfId="6189" xr:uid="{00000000-0005-0000-0000-00000A180000}"/>
    <cellStyle name="Normal 52 3 2 2" xfId="6190" xr:uid="{00000000-0005-0000-0000-00000B180000}"/>
    <cellStyle name="Normal 52 3 2 2 2" xfId="6191" xr:uid="{00000000-0005-0000-0000-00000C180000}"/>
    <cellStyle name="Normal 52 3 2 3" xfId="6192" xr:uid="{00000000-0005-0000-0000-00000D180000}"/>
    <cellStyle name="Normal 52 3 2 3 2" xfId="6193" xr:uid="{00000000-0005-0000-0000-00000E180000}"/>
    <cellStyle name="Normal 52 3 2 4" xfId="6194" xr:uid="{00000000-0005-0000-0000-00000F180000}"/>
    <cellStyle name="Normal 52 3 3" xfId="6195" xr:uid="{00000000-0005-0000-0000-000010180000}"/>
    <cellStyle name="Normal 52 3 3 2" xfId="6196" xr:uid="{00000000-0005-0000-0000-000011180000}"/>
    <cellStyle name="Normal 52 3 4" xfId="6197" xr:uid="{00000000-0005-0000-0000-000012180000}"/>
    <cellStyle name="Normal 52 3 4 2" xfId="6198" xr:uid="{00000000-0005-0000-0000-000013180000}"/>
    <cellStyle name="Normal 52 3 5" xfId="6199" xr:uid="{00000000-0005-0000-0000-000014180000}"/>
    <cellStyle name="Normal 52 4" xfId="6200" xr:uid="{00000000-0005-0000-0000-000015180000}"/>
    <cellStyle name="Normal 52 4 2" xfId="6201" xr:uid="{00000000-0005-0000-0000-000016180000}"/>
    <cellStyle name="Normal 52 4 2 2" xfId="6202" xr:uid="{00000000-0005-0000-0000-000017180000}"/>
    <cellStyle name="Normal 52 4 3" xfId="6203" xr:uid="{00000000-0005-0000-0000-000018180000}"/>
    <cellStyle name="Normal 52 4 3 2" xfId="6204" xr:uid="{00000000-0005-0000-0000-000019180000}"/>
    <cellStyle name="Normal 52 4 4" xfId="6205" xr:uid="{00000000-0005-0000-0000-00001A180000}"/>
    <cellStyle name="Normal 52 5" xfId="6206" xr:uid="{00000000-0005-0000-0000-00001B180000}"/>
    <cellStyle name="Normal 52 5 2" xfId="6207" xr:uid="{00000000-0005-0000-0000-00001C180000}"/>
    <cellStyle name="Normal 52 6" xfId="6208" xr:uid="{00000000-0005-0000-0000-00001D180000}"/>
    <cellStyle name="Normal 52 6 2" xfId="6209" xr:uid="{00000000-0005-0000-0000-00001E180000}"/>
    <cellStyle name="Normal 52 7" xfId="6210" xr:uid="{00000000-0005-0000-0000-00001F180000}"/>
    <cellStyle name="Normal 53" xfId="6211" xr:uid="{00000000-0005-0000-0000-000020180000}"/>
    <cellStyle name="Normal 53 2" xfId="6212" xr:uid="{00000000-0005-0000-0000-000021180000}"/>
    <cellStyle name="Normal 53 2 2" xfId="6213" xr:uid="{00000000-0005-0000-0000-000022180000}"/>
    <cellStyle name="Normal 53 2 2 2" xfId="6214" xr:uid="{00000000-0005-0000-0000-000023180000}"/>
    <cellStyle name="Normal 53 2 2 2 2" xfId="6215" xr:uid="{00000000-0005-0000-0000-000024180000}"/>
    <cellStyle name="Normal 53 2 2 2 2 2" xfId="6216" xr:uid="{00000000-0005-0000-0000-000025180000}"/>
    <cellStyle name="Normal 53 2 2 2 3" xfId="6217" xr:uid="{00000000-0005-0000-0000-000026180000}"/>
    <cellStyle name="Normal 53 2 2 2 3 2" xfId="6218" xr:uid="{00000000-0005-0000-0000-000027180000}"/>
    <cellStyle name="Normal 53 2 2 2 4" xfId="6219" xr:uid="{00000000-0005-0000-0000-000028180000}"/>
    <cellStyle name="Normal 53 2 2 3" xfId="6220" xr:uid="{00000000-0005-0000-0000-000029180000}"/>
    <cellStyle name="Normal 53 2 2 3 2" xfId="6221" xr:uid="{00000000-0005-0000-0000-00002A180000}"/>
    <cellStyle name="Normal 53 2 2 4" xfId="6222" xr:uid="{00000000-0005-0000-0000-00002B180000}"/>
    <cellStyle name="Normal 53 2 2 4 2" xfId="6223" xr:uid="{00000000-0005-0000-0000-00002C180000}"/>
    <cellStyle name="Normal 53 2 2 5" xfId="6224" xr:uid="{00000000-0005-0000-0000-00002D180000}"/>
    <cellStyle name="Normal 53 2 3" xfId="6225" xr:uid="{00000000-0005-0000-0000-00002E180000}"/>
    <cellStyle name="Normal 53 2 3 2" xfId="6226" xr:uid="{00000000-0005-0000-0000-00002F180000}"/>
    <cellStyle name="Normal 53 2 3 2 2" xfId="6227" xr:uid="{00000000-0005-0000-0000-000030180000}"/>
    <cellStyle name="Normal 53 2 3 3" xfId="6228" xr:uid="{00000000-0005-0000-0000-000031180000}"/>
    <cellStyle name="Normal 53 2 3 3 2" xfId="6229" xr:uid="{00000000-0005-0000-0000-000032180000}"/>
    <cellStyle name="Normal 53 2 3 4" xfId="6230" xr:uid="{00000000-0005-0000-0000-000033180000}"/>
    <cellStyle name="Normal 53 2 4" xfId="6231" xr:uid="{00000000-0005-0000-0000-000034180000}"/>
    <cellStyle name="Normal 53 2 4 2" xfId="6232" xr:uid="{00000000-0005-0000-0000-000035180000}"/>
    <cellStyle name="Normal 53 2 5" xfId="6233" xr:uid="{00000000-0005-0000-0000-000036180000}"/>
    <cellStyle name="Normal 53 2 5 2" xfId="6234" xr:uid="{00000000-0005-0000-0000-000037180000}"/>
    <cellStyle name="Normal 53 2 6" xfId="6235" xr:uid="{00000000-0005-0000-0000-000038180000}"/>
    <cellStyle name="Normal 53 3" xfId="6236" xr:uid="{00000000-0005-0000-0000-000039180000}"/>
    <cellStyle name="Normal 53 3 2" xfId="6237" xr:uid="{00000000-0005-0000-0000-00003A180000}"/>
    <cellStyle name="Normal 53 3 2 2" xfId="6238" xr:uid="{00000000-0005-0000-0000-00003B180000}"/>
    <cellStyle name="Normal 53 3 2 2 2" xfId="6239" xr:uid="{00000000-0005-0000-0000-00003C180000}"/>
    <cellStyle name="Normal 53 3 2 3" xfId="6240" xr:uid="{00000000-0005-0000-0000-00003D180000}"/>
    <cellStyle name="Normal 53 3 2 3 2" xfId="6241" xr:uid="{00000000-0005-0000-0000-00003E180000}"/>
    <cellStyle name="Normal 53 3 2 4" xfId="6242" xr:uid="{00000000-0005-0000-0000-00003F180000}"/>
    <cellStyle name="Normal 53 3 3" xfId="6243" xr:uid="{00000000-0005-0000-0000-000040180000}"/>
    <cellStyle name="Normal 53 3 3 2" xfId="6244" xr:uid="{00000000-0005-0000-0000-000041180000}"/>
    <cellStyle name="Normal 53 3 4" xfId="6245" xr:uid="{00000000-0005-0000-0000-000042180000}"/>
    <cellStyle name="Normal 53 3 4 2" xfId="6246" xr:uid="{00000000-0005-0000-0000-000043180000}"/>
    <cellStyle name="Normal 53 3 5" xfId="6247" xr:uid="{00000000-0005-0000-0000-000044180000}"/>
    <cellStyle name="Normal 53 4" xfId="6248" xr:uid="{00000000-0005-0000-0000-000045180000}"/>
    <cellStyle name="Normal 53 4 2" xfId="6249" xr:uid="{00000000-0005-0000-0000-000046180000}"/>
    <cellStyle name="Normal 53 4 2 2" xfId="6250" xr:uid="{00000000-0005-0000-0000-000047180000}"/>
    <cellStyle name="Normal 53 4 3" xfId="6251" xr:uid="{00000000-0005-0000-0000-000048180000}"/>
    <cellStyle name="Normal 53 4 3 2" xfId="6252" xr:uid="{00000000-0005-0000-0000-000049180000}"/>
    <cellStyle name="Normal 53 4 4" xfId="6253" xr:uid="{00000000-0005-0000-0000-00004A180000}"/>
    <cellStyle name="Normal 53 5" xfId="6254" xr:uid="{00000000-0005-0000-0000-00004B180000}"/>
    <cellStyle name="Normal 53 5 2" xfId="6255" xr:uid="{00000000-0005-0000-0000-00004C180000}"/>
    <cellStyle name="Normal 53 6" xfId="6256" xr:uid="{00000000-0005-0000-0000-00004D180000}"/>
    <cellStyle name="Normal 53 6 2" xfId="6257" xr:uid="{00000000-0005-0000-0000-00004E180000}"/>
    <cellStyle name="Normal 53 7" xfId="6258" xr:uid="{00000000-0005-0000-0000-00004F180000}"/>
    <cellStyle name="Normal 54" xfId="6259" xr:uid="{00000000-0005-0000-0000-000050180000}"/>
    <cellStyle name="Normal 54 2" xfId="6260" xr:uid="{00000000-0005-0000-0000-000051180000}"/>
    <cellStyle name="Normal 54 2 2" xfId="6261" xr:uid="{00000000-0005-0000-0000-000052180000}"/>
    <cellStyle name="Normal 54 2 2 2" xfId="6262" xr:uid="{00000000-0005-0000-0000-000053180000}"/>
    <cellStyle name="Normal 54 2 2 2 2" xfId="6263" xr:uid="{00000000-0005-0000-0000-000054180000}"/>
    <cellStyle name="Normal 54 2 2 2 2 2" xfId="6264" xr:uid="{00000000-0005-0000-0000-000055180000}"/>
    <cellStyle name="Normal 54 2 2 2 3" xfId="6265" xr:uid="{00000000-0005-0000-0000-000056180000}"/>
    <cellStyle name="Normal 54 2 2 2 3 2" xfId="6266" xr:uid="{00000000-0005-0000-0000-000057180000}"/>
    <cellStyle name="Normal 54 2 2 2 4" xfId="6267" xr:uid="{00000000-0005-0000-0000-000058180000}"/>
    <cellStyle name="Normal 54 2 2 3" xfId="6268" xr:uid="{00000000-0005-0000-0000-000059180000}"/>
    <cellStyle name="Normal 54 2 2 3 2" xfId="6269" xr:uid="{00000000-0005-0000-0000-00005A180000}"/>
    <cellStyle name="Normal 54 2 2 4" xfId="6270" xr:uid="{00000000-0005-0000-0000-00005B180000}"/>
    <cellStyle name="Normal 54 2 2 4 2" xfId="6271" xr:uid="{00000000-0005-0000-0000-00005C180000}"/>
    <cellStyle name="Normal 54 2 2 5" xfId="6272" xr:uid="{00000000-0005-0000-0000-00005D180000}"/>
    <cellStyle name="Normal 54 2 3" xfId="6273" xr:uid="{00000000-0005-0000-0000-00005E180000}"/>
    <cellStyle name="Normal 54 2 3 2" xfId="6274" xr:uid="{00000000-0005-0000-0000-00005F180000}"/>
    <cellStyle name="Normal 54 2 3 2 2" xfId="6275" xr:uid="{00000000-0005-0000-0000-000060180000}"/>
    <cellStyle name="Normal 54 2 3 3" xfId="6276" xr:uid="{00000000-0005-0000-0000-000061180000}"/>
    <cellStyle name="Normal 54 2 3 3 2" xfId="6277" xr:uid="{00000000-0005-0000-0000-000062180000}"/>
    <cellStyle name="Normal 54 2 3 4" xfId="6278" xr:uid="{00000000-0005-0000-0000-000063180000}"/>
    <cellStyle name="Normal 54 2 4" xfId="6279" xr:uid="{00000000-0005-0000-0000-000064180000}"/>
    <cellStyle name="Normal 54 2 4 2" xfId="6280" xr:uid="{00000000-0005-0000-0000-000065180000}"/>
    <cellStyle name="Normal 54 2 5" xfId="6281" xr:uid="{00000000-0005-0000-0000-000066180000}"/>
    <cellStyle name="Normal 54 2 5 2" xfId="6282" xr:uid="{00000000-0005-0000-0000-000067180000}"/>
    <cellStyle name="Normal 54 2 6" xfId="6283" xr:uid="{00000000-0005-0000-0000-000068180000}"/>
    <cellStyle name="Normal 54 3" xfId="6284" xr:uid="{00000000-0005-0000-0000-000069180000}"/>
    <cellStyle name="Normal 54 3 2" xfId="6285" xr:uid="{00000000-0005-0000-0000-00006A180000}"/>
    <cellStyle name="Normal 54 3 2 2" xfId="6286" xr:uid="{00000000-0005-0000-0000-00006B180000}"/>
    <cellStyle name="Normal 54 3 2 2 2" xfId="6287" xr:uid="{00000000-0005-0000-0000-00006C180000}"/>
    <cellStyle name="Normal 54 3 2 3" xfId="6288" xr:uid="{00000000-0005-0000-0000-00006D180000}"/>
    <cellStyle name="Normal 54 3 2 3 2" xfId="6289" xr:uid="{00000000-0005-0000-0000-00006E180000}"/>
    <cellStyle name="Normal 54 3 2 4" xfId="6290" xr:uid="{00000000-0005-0000-0000-00006F180000}"/>
    <cellStyle name="Normal 54 3 3" xfId="6291" xr:uid="{00000000-0005-0000-0000-000070180000}"/>
    <cellStyle name="Normal 54 3 3 2" xfId="6292" xr:uid="{00000000-0005-0000-0000-000071180000}"/>
    <cellStyle name="Normal 54 3 4" xfId="6293" xr:uid="{00000000-0005-0000-0000-000072180000}"/>
    <cellStyle name="Normal 54 3 4 2" xfId="6294" xr:uid="{00000000-0005-0000-0000-000073180000}"/>
    <cellStyle name="Normal 54 3 5" xfId="6295" xr:uid="{00000000-0005-0000-0000-000074180000}"/>
    <cellStyle name="Normal 54 4" xfId="6296" xr:uid="{00000000-0005-0000-0000-000075180000}"/>
    <cellStyle name="Normal 54 4 2" xfId="6297" xr:uid="{00000000-0005-0000-0000-000076180000}"/>
    <cellStyle name="Normal 54 4 2 2" xfId="6298" xr:uid="{00000000-0005-0000-0000-000077180000}"/>
    <cellStyle name="Normal 54 4 3" xfId="6299" xr:uid="{00000000-0005-0000-0000-000078180000}"/>
    <cellStyle name="Normal 54 4 3 2" xfId="6300" xr:uid="{00000000-0005-0000-0000-000079180000}"/>
    <cellStyle name="Normal 54 4 4" xfId="6301" xr:uid="{00000000-0005-0000-0000-00007A180000}"/>
    <cellStyle name="Normal 54 5" xfId="6302" xr:uid="{00000000-0005-0000-0000-00007B180000}"/>
    <cellStyle name="Normal 54 5 2" xfId="6303" xr:uid="{00000000-0005-0000-0000-00007C180000}"/>
    <cellStyle name="Normal 54 6" xfId="6304" xr:uid="{00000000-0005-0000-0000-00007D180000}"/>
    <cellStyle name="Normal 54 6 2" xfId="6305" xr:uid="{00000000-0005-0000-0000-00007E180000}"/>
    <cellStyle name="Normal 54 7" xfId="6306" xr:uid="{00000000-0005-0000-0000-00007F180000}"/>
    <cellStyle name="Normal 55" xfId="6307" xr:uid="{00000000-0005-0000-0000-000080180000}"/>
    <cellStyle name="Normal 55 2" xfId="6308" xr:uid="{00000000-0005-0000-0000-000081180000}"/>
    <cellStyle name="Normal 55 2 2" xfId="6309" xr:uid="{00000000-0005-0000-0000-000082180000}"/>
    <cellStyle name="Normal 55 2 2 2" xfId="6310" xr:uid="{00000000-0005-0000-0000-000083180000}"/>
    <cellStyle name="Normal 55 2 2 2 2" xfId="6311" xr:uid="{00000000-0005-0000-0000-000084180000}"/>
    <cellStyle name="Normal 55 2 2 2 2 2" xfId="6312" xr:uid="{00000000-0005-0000-0000-000085180000}"/>
    <cellStyle name="Normal 55 2 2 2 3" xfId="6313" xr:uid="{00000000-0005-0000-0000-000086180000}"/>
    <cellStyle name="Normal 55 2 2 2 3 2" xfId="6314" xr:uid="{00000000-0005-0000-0000-000087180000}"/>
    <cellStyle name="Normal 55 2 2 2 4" xfId="6315" xr:uid="{00000000-0005-0000-0000-000088180000}"/>
    <cellStyle name="Normal 55 2 2 3" xfId="6316" xr:uid="{00000000-0005-0000-0000-000089180000}"/>
    <cellStyle name="Normal 55 2 2 3 2" xfId="6317" xr:uid="{00000000-0005-0000-0000-00008A180000}"/>
    <cellStyle name="Normal 55 2 2 4" xfId="6318" xr:uid="{00000000-0005-0000-0000-00008B180000}"/>
    <cellStyle name="Normal 55 2 2 4 2" xfId="6319" xr:uid="{00000000-0005-0000-0000-00008C180000}"/>
    <cellStyle name="Normal 55 2 2 5" xfId="6320" xr:uid="{00000000-0005-0000-0000-00008D180000}"/>
    <cellStyle name="Normal 55 2 3" xfId="6321" xr:uid="{00000000-0005-0000-0000-00008E180000}"/>
    <cellStyle name="Normal 55 2 3 2" xfId="6322" xr:uid="{00000000-0005-0000-0000-00008F180000}"/>
    <cellStyle name="Normal 55 2 3 2 2" xfId="6323" xr:uid="{00000000-0005-0000-0000-000090180000}"/>
    <cellStyle name="Normal 55 2 3 3" xfId="6324" xr:uid="{00000000-0005-0000-0000-000091180000}"/>
    <cellStyle name="Normal 55 2 3 3 2" xfId="6325" xr:uid="{00000000-0005-0000-0000-000092180000}"/>
    <cellStyle name="Normal 55 2 3 4" xfId="6326" xr:uid="{00000000-0005-0000-0000-000093180000}"/>
    <cellStyle name="Normal 55 2 4" xfId="6327" xr:uid="{00000000-0005-0000-0000-000094180000}"/>
    <cellStyle name="Normal 55 2 4 2" xfId="6328" xr:uid="{00000000-0005-0000-0000-000095180000}"/>
    <cellStyle name="Normal 55 2 5" xfId="6329" xr:uid="{00000000-0005-0000-0000-000096180000}"/>
    <cellStyle name="Normal 55 2 5 2" xfId="6330" xr:uid="{00000000-0005-0000-0000-000097180000}"/>
    <cellStyle name="Normal 55 2 6" xfId="6331" xr:uid="{00000000-0005-0000-0000-000098180000}"/>
    <cellStyle name="Normal 55 3" xfId="6332" xr:uid="{00000000-0005-0000-0000-000099180000}"/>
    <cellStyle name="Normal 55 3 2" xfId="6333" xr:uid="{00000000-0005-0000-0000-00009A180000}"/>
    <cellStyle name="Normal 55 3 2 2" xfId="6334" xr:uid="{00000000-0005-0000-0000-00009B180000}"/>
    <cellStyle name="Normal 55 3 2 2 2" xfId="6335" xr:uid="{00000000-0005-0000-0000-00009C180000}"/>
    <cellStyle name="Normal 55 3 2 3" xfId="6336" xr:uid="{00000000-0005-0000-0000-00009D180000}"/>
    <cellStyle name="Normal 55 3 2 3 2" xfId="6337" xr:uid="{00000000-0005-0000-0000-00009E180000}"/>
    <cellStyle name="Normal 55 3 2 4" xfId="6338" xr:uid="{00000000-0005-0000-0000-00009F180000}"/>
    <cellStyle name="Normal 55 3 3" xfId="6339" xr:uid="{00000000-0005-0000-0000-0000A0180000}"/>
    <cellStyle name="Normal 55 3 3 2" xfId="6340" xr:uid="{00000000-0005-0000-0000-0000A1180000}"/>
    <cellStyle name="Normal 55 3 4" xfId="6341" xr:uid="{00000000-0005-0000-0000-0000A2180000}"/>
    <cellStyle name="Normal 55 3 4 2" xfId="6342" xr:uid="{00000000-0005-0000-0000-0000A3180000}"/>
    <cellStyle name="Normal 55 3 5" xfId="6343" xr:uid="{00000000-0005-0000-0000-0000A4180000}"/>
    <cellStyle name="Normal 55 4" xfId="6344" xr:uid="{00000000-0005-0000-0000-0000A5180000}"/>
    <cellStyle name="Normal 55 4 2" xfId="6345" xr:uid="{00000000-0005-0000-0000-0000A6180000}"/>
    <cellStyle name="Normal 55 4 2 2" xfId="6346" xr:uid="{00000000-0005-0000-0000-0000A7180000}"/>
    <cellStyle name="Normal 55 4 3" xfId="6347" xr:uid="{00000000-0005-0000-0000-0000A8180000}"/>
    <cellStyle name="Normal 55 4 3 2" xfId="6348" xr:uid="{00000000-0005-0000-0000-0000A9180000}"/>
    <cellStyle name="Normal 55 4 4" xfId="6349" xr:uid="{00000000-0005-0000-0000-0000AA180000}"/>
    <cellStyle name="Normal 55 5" xfId="6350" xr:uid="{00000000-0005-0000-0000-0000AB180000}"/>
    <cellStyle name="Normal 55 5 2" xfId="6351" xr:uid="{00000000-0005-0000-0000-0000AC180000}"/>
    <cellStyle name="Normal 55 6" xfId="6352" xr:uid="{00000000-0005-0000-0000-0000AD180000}"/>
    <cellStyle name="Normal 55 6 2" xfId="6353" xr:uid="{00000000-0005-0000-0000-0000AE180000}"/>
    <cellStyle name="Normal 55 7" xfId="6354" xr:uid="{00000000-0005-0000-0000-0000AF180000}"/>
    <cellStyle name="Normal 56" xfId="6355" xr:uid="{00000000-0005-0000-0000-0000B0180000}"/>
    <cellStyle name="Normal 56 2" xfId="6356" xr:uid="{00000000-0005-0000-0000-0000B1180000}"/>
    <cellStyle name="Normal 56 2 2" xfId="6357" xr:uid="{00000000-0005-0000-0000-0000B2180000}"/>
    <cellStyle name="Normal 56 2 2 2" xfId="6358" xr:uid="{00000000-0005-0000-0000-0000B3180000}"/>
    <cellStyle name="Normal 56 2 2 2 2" xfId="6359" xr:uid="{00000000-0005-0000-0000-0000B4180000}"/>
    <cellStyle name="Normal 56 2 2 2 2 2" xfId="6360" xr:uid="{00000000-0005-0000-0000-0000B5180000}"/>
    <cellStyle name="Normal 56 2 2 2 3" xfId="6361" xr:uid="{00000000-0005-0000-0000-0000B6180000}"/>
    <cellStyle name="Normal 56 2 2 2 3 2" xfId="6362" xr:uid="{00000000-0005-0000-0000-0000B7180000}"/>
    <cellStyle name="Normal 56 2 2 2 4" xfId="6363" xr:uid="{00000000-0005-0000-0000-0000B8180000}"/>
    <cellStyle name="Normal 56 2 2 3" xfId="6364" xr:uid="{00000000-0005-0000-0000-0000B9180000}"/>
    <cellStyle name="Normal 56 2 2 3 2" xfId="6365" xr:uid="{00000000-0005-0000-0000-0000BA180000}"/>
    <cellStyle name="Normal 56 2 2 4" xfId="6366" xr:uid="{00000000-0005-0000-0000-0000BB180000}"/>
    <cellStyle name="Normal 56 2 2 4 2" xfId="6367" xr:uid="{00000000-0005-0000-0000-0000BC180000}"/>
    <cellStyle name="Normal 56 2 2 5" xfId="6368" xr:uid="{00000000-0005-0000-0000-0000BD180000}"/>
    <cellStyle name="Normal 56 2 3" xfId="6369" xr:uid="{00000000-0005-0000-0000-0000BE180000}"/>
    <cellStyle name="Normal 56 2 3 2" xfId="6370" xr:uid="{00000000-0005-0000-0000-0000BF180000}"/>
    <cellStyle name="Normal 56 2 3 2 2" xfId="6371" xr:uid="{00000000-0005-0000-0000-0000C0180000}"/>
    <cellStyle name="Normal 56 2 3 3" xfId="6372" xr:uid="{00000000-0005-0000-0000-0000C1180000}"/>
    <cellStyle name="Normal 56 2 3 3 2" xfId="6373" xr:uid="{00000000-0005-0000-0000-0000C2180000}"/>
    <cellStyle name="Normal 56 2 3 4" xfId="6374" xr:uid="{00000000-0005-0000-0000-0000C3180000}"/>
    <cellStyle name="Normal 56 2 4" xfId="6375" xr:uid="{00000000-0005-0000-0000-0000C4180000}"/>
    <cellStyle name="Normal 56 2 4 2" xfId="6376" xr:uid="{00000000-0005-0000-0000-0000C5180000}"/>
    <cellStyle name="Normal 56 2 5" xfId="6377" xr:uid="{00000000-0005-0000-0000-0000C6180000}"/>
    <cellStyle name="Normal 56 2 5 2" xfId="6378" xr:uid="{00000000-0005-0000-0000-0000C7180000}"/>
    <cellStyle name="Normal 56 2 6" xfId="6379" xr:uid="{00000000-0005-0000-0000-0000C8180000}"/>
    <cellStyle name="Normal 56 3" xfId="6380" xr:uid="{00000000-0005-0000-0000-0000C9180000}"/>
    <cellStyle name="Normal 56 3 2" xfId="6381" xr:uid="{00000000-0005-0000-0000-0000CA180000}"/>
    <cellStyle name="Normal 56 3 2 2" xfId="6382" xr:uid="{00000000-0005-0000-0000-0000CB180000}"/>
    <cellStyle name="Normal 56 3 2 2 2" xfId="6383" xr:uid="{00000000-0005-0000-0000-0000CC180000}"/>
    <cellStyle name="Normal 56 3 2 3" xfId="6384" xr:uid="{00000000-0005-0000-0000-0000CD180000}"/>
    <cellStyle name="Normal 56 3 2 3 2" xfId="6385" xr:uid="{00000000-0005-0000-0000-0000CE180000}"/>
    <cellStyle name="Normal 56 3 2 4" xfId="6386" xr:uid="{00000000-0005-0000-0000-0000CF180000}"/>
    <cellStyle name="Normal 56 3 3" xfId="6387" xr:uid="{00000000-0005-0000-0000-0000D0180000}"/>
    <cellStyle name="Normal 56 3 3 2" xfId="6388" xr:uid="{00000000-0005-0000-0000-0000D1180000}"/>
    <cellStyle name="Normal 56 3 4" xfId="6389" xr:uid="{00000000-0005-0000-0000-0000D2180000}"/>
    <cellStyle name="Normal 56 3 4 2" xfId="6390" xr:uid="{00000000-0005-0000-0000-0000D3180000}"/>
    <cellStyle name="Normal 56 3 5" xfId="6391" xr:uid="{00000000-0005-0000-0000-0000D4180000}"/>
    <cellStyle name="Normal 56 4" xfId="6392" xr:uid="{00000000-0005-0000-0000-0000D5180000}"/>
    <cellStyle name="Normal 56 4 2" xfId="6393" xr:uid="{00000000-0005-0000-0000-0000D6180000}"/>
    <cellStyle name="Normal 56 4 2 2" xfId="6394" xr:uid="{00000000-0005-0000-0000-0000D7180000}"/>
    <cellStyle name="Normal 56 4 3" xfId="6395" xr:uid="{00000000-0005-0000-0000-0000D8180000}"/>
    <cellStyle name="Normal 56 4 3 2" xfId="6396" xr:uid="{00000000-0005-0000-0000-0000D9180000}"/>
    <cellStyle name="Normal 56 4 4" xfId="6397" xr:uid="{00000000-0005-0000-0000-0000DA180000}"/>
    <cellStyle name="Normal 56 5" xfId="6398" xr:uid="{00000000-0005-0000-0000-0000DB180000}"/>
    <cellStyle name="Normal 56 5 2" xfId="6399" xr:uid="{00000000-0005-0000-0000-0000DC180000}"/>
    <cellStyle name="Normal 56 6" xfId="6400" xr:uid="{00000000-0005-0000-0000-0000DD180000}"/>
    <cellStyle name="Normal 56 6 2" xfId="6401" xr:uid="{00000000-0005-0000-0000-0000DE180000}"/>
    <cellStyle name="Normal 56 7" xfId="6402" xr:uid="{00000000-0005-0000-0000-0000DF180000}"/>
    <cellStyle name="Normal 57" xfId="6403" xr:uid="{00000000-0005-0000-0000-0000E0180000}"/>
    <cellStyle name="Normal 57 2" xfId="6404" xr:uid="{00000000-0005-0000-0000-0000E1180000}"/>
    <cellStyle name="Normal 57 2 2" xfId="6405" xr:uid="{00000000-0005-0000-0000-0000E2180000}"/>
    <cellStyle name="Normal 57 2 2 2" xfId="6406" xr:uid="{00000000-0005-0000-0000-0000E3180000}"/>
    <cellStyle name="Normal 57 2 2 2 2" xfId="6407" xr:uid="{00000000-0005-0000-0000-0000E4180000}"/>
    <cellStyle name="Normal 57 2 2 2 2 2" xfId="6408" xr:uid="{00000000-0005-0000-0000-0000E5180000}"/>
    <cellStyle name="Normal 57 2 2 2 3" xfId="6409" xr:uid="{00000000-0005-0000-0000-0000E6180000}"/>
    <cellStyle name="Normal 57 2 2 2 3 2" xfId="6410" xr:uid="{00000000-0005-0000-0000-0000E7180000}"/>
    <cellStyle name="Normal 57 2 2 2 4" xfId="6411" xr:uid="{00000000-0005-0000-0000-0000E8180000}"/>
    <cellStyle name="Normal 57 2 2 3" xfId="6412" xr:uid="{00000000-0005-0000-0000-0000E9180000}"/>
    <cellStyle name="Normal 57 2 2 3 2" xfId="6413" xr:uid="{00000000-0005-0000-0000-0000EA180000}"/>
    <cellStyle name="Normal 57 2 2 4" xfId="6414" xr:uid="{00000000-0005-0000-0000-0000EB180000}"/>
    <cellStyle name="Normal 57 2 2 4 2" xfId="6415" xr:uid="{00000000-0005-0000-0000-0000EC180000}"/>
    <cellStyle name="Normal 57 2 2 5" xfId="6416" xr:uid="{00000000-0005-0000-0000-0000ED180000}"/>
    <cellStyle name="Normal 57 2 3" xfId="6417" xr:uid="{00000000-0005-0000-0000-0000EE180000}"/>
    <cellStyle name="Normal 57 2 3 2" xfId="6418" xr:uid="{00000000-0005-0000-0000-0000EF180000}"/>
    <cellStyle name="Normal 57 2 3 2 2" xfId="6419" xr:uid="{00000000-0005-0000-0000-0000F0180000}"/>
    <cellStyle name="Normal 57 2 3 3" xfId="6420" xr:uid="{00000000-0005-0000-0000-0000F1180000}"/>
    <cellStyle name="Normal 57 2 3 3 2" xfId="6421" xr:uid="{00000000-0005-0000-0000-0000F2180000}"/>
    <cellStyle name="Normal 57 2 3 4" xfId="6422" xr:uid="{00000000-0005-0000-0000-0000F3180000}"/>
    <cellStyle name="Normal 57 2 4" xfId="6423" xr:uid="{00000000-0005-0000-0000-0000F4180000}"/>
    <cellStyle name="Normal 57 2 4 2" xfId="6424" xr:uid="{00000000-0005-0000-0000-0000F5180000}"/>
    <cellStyle name="Normal 57 2 5" xfId="6425" xr:uid="{00000000-0005-0000-0000-0000F6180000}"/>
    <cellStyle name="Normal 57 2 5 2" xfId="6426" xr:uid="{00000000-0005-0000-0000-0000F7180000}"/>
    <cellStyle name="Normal 57 2 6" xfId="6427" xr:uid="{00000000-0005-0000-0000-0000F8180000}"/>
    <cellStyle name="Normal 57 3" xfId="6428" xr:uid="{00000000-0005-0000-0000-0000F9180000}"/>
    <cellStyle name="Normal 57 3 2" xfId="6429" xr:uid="{00000000-0005-0000-0000-0000FA180000}"/>
    <cellStyle name="Normal 57 3 2 2" xfId="6430" xr:uid="{00000000-0005-0000-0000-0000FB180000}"/>
    <cellStyle name="Normal 57 3 2 2 2" xfId="6431" xr:uid="{00000000-0005-0000-0000-0000FC180000}"/>
    <cellStyle name="Normal 57 3 2 3" xfId="6432" xr:uid="{00000000-0005-0000-0000-0000FD180000}"/>
    <cellStyle name="Normal 57 3 2 3 2" xfId="6433" xr:uid="{00000000-0005-0000-0000-0000FE180000}"/>
    <cellStyle name="Normal 57 3 2 4" xfId="6434" xr:uid="{00000000-0005-0000-0000-0000FF180000}"/>
    <cellStyle name="Normal 57 3 3" xfId="6435" xr:uid="{00000000-0005-0000-0000-000000190000}"/>
    <cellStyle name="Normal 57 3 3 2" xfId="6436" xr:uid="{00000000-0005-0000-0000-000001190000}"/>
    <cellStyle name="Normal 57 3 4" xfId="6437" xr:uid="{00000000-0005-0000-0000-000002190000}"/>
    <cellStyle name="Normal 57 3 4 2" xfId="6438" xr:uid="{00000000-0005-0000-0000-000003190000}"/>
    <cellStyle name="Normal 57 3 5" xfId="6439" xr:uid="{00000000-0005-0000-0000-000004190000}"/>
    <cellStyle name="Normal 57 4" xfId="6440" xr:uid="{00000000-0005-0000-0000-000005190000}"/>
    <cellStyle name="Normal 57 4 2" xfId="6441" xr:uid="{00000000-0005-0000-0000-000006190000}"/>
    <cellStyle name="Normal 57 4 2 2" xfId="6442" xr:uid="{00000000-0005-0000-0000-000007190000}"/>
    <cellStyle name="Normal 57 4 3" xfId="6443" xr:uid="{00000000-0005-0000-0000-000008190000}"/>
    <cellStyle name="Normal 57 4 3 2" xfId="6444" xr:uid="{00000000-0005-0000-0000-000009190000}"/>
    <cellStyle name="Normal 57 4 4" xfId="6445" xr:uid="{00000000-0005-0000-0000-00000A190000}"/>
    <cellStyle name="Normal 57 5" xfId="6446" xr:uid="{00000000-0005-0000-0000-00000B190000}"/>
    <cellStyle name="Normal 57 5 2" xfId="6447" xr:uid="{00000000-0005-0000-0000-00000C190000}"/>
    <cellStyle name="Normal 57 6" xfId="6448" xr:uid="{00000000-0005-0000-0000-00000D190000}"/>
    <cellStyle name="Normal 57 6 2" xfId="6449" xr:uid="{00000000-0005-0000-0000-00000E190000}"/>
    <cellStyle name="Normal 57 7" xfId="6450" xr:uid="{00000000-0005-0000-0000-00000F190000}"/>
    <cellStyle name="Normal 58" xfId="6451" xr:uid="{00000000-0005-0000-0000-000010190000}"/>
    <cellStyle name="Normal 58 2" xfId="6452" xr:uid="{00000000-0005-0000-0000-000011190000}"/>
    <cellStyle name="Normal 58 2 2" xfId="6453" xr:uid="{00000000-0005-0000-0000-000012190000}"/>
    <cellStyle name="Normal 58 2 2 2" xfId="6454" xr:uid="{00000000-0005-0000-0000-000013190000}"/>
    <cellStyle name="Normal 58 2 2 2 2" xfId="6455" xr:uid="{00000000-0005-0000-0000-000014190000}"/>
    <cellStyle name="Normal 58 2 2 2 2 2" xfId="6456" xr:uid="{00000000-0005-0000-0000-000015190000}"/>
    <cellStyle name="Normal 58 2 2 2 3" xfId="6457" xr:uid="{00000000-0005-0000-0000-000016190000}"/>
    <cellStyle name="Normal 58 2 2 2 3 2" xfId="6458" xr:uid="{00000000-0005-0000-0000-000017190000}"/>
    <cellStyle name="Normal 58 2 2 2 4" xfId="6459" xr:uid="{00000000-0005-0000-0000-000018190000}"/>
    <cellStyle name="Normal 58 2 2 3" xfId="6460" xr:uid="{00000000-0005-0000-0000-000019190000}"/>
    <cellStyle name="Normal 58 2 2 3 2" xfId="6461" xr:uid="{00000000-0005-0000-0000-00001A190000}"/>
    <cellStyle name="Normal 58 2 2 4" xfId="6462" xr:uid="{00000000-0005-0000-0000-00001B190000}"/>
    <cellStyle name="Normal 58 2 2 4 2" xfId="6463" xr:uid="{00000000-0005-0000-0000-00001C190000}"/>
    <cellStyle name="Normal 58 2 2 5" xfId="6464" xr:uid="{00000000-0005-0000-0000-00001D190000}"/>
    <cellStyle name="Normal 58 2 3" xfId="6465" xr:uid="{00000000-0005-0000-0000-00001E190000}"/>
    <cellStyle name="Normal 58 2 3 2" xfId="6466" xr:uid="{00000000-0005-0000-0000-00001F190000}"/>
    <cellStyle name="Normal 58 2 3 2 2" xfId="6467" xr:uid="{00000000-0005-0000-0000-000020190000}"/>
    <cellStyle name="Normal 58 2 3 3" xfId="6468" xr:uid="{00000000-0005-0000-0000-000021190000}"/>
    <cellStyle name="Normal 58 2 3 3 2" xfId="6469" xr:uid="{00000000-0005-0000-0000-000022190000}"/>
    <cellStyle name="Normal 58 2 3 4" xfId="6470" xr:uid="{00000000-0005-0000-0000-000023190000}"/>
    <cellStyle name="Normal 58 2 4" xfId="6471" xr:uid="{00000000-0005-0000-0000-000024190000}"/>
    <cellStyle name="Normal 58 2 4 2" xfId="6472" xr:uid="{00000000-0005-0000-0000-000025190000}"/>
    <cellStyle name="Normal 58 2 5" xfId="6473" xr:uid="{00000000-0005-0000-0000-000026190000}"/>
    <cellStyle name="Normal 58 2 5 2" xfId="6474" xr:uid="{00000000-0005-0000-0000-000027190000}"/>
    <cellStyle name="Normal 58 2 6" xfId="6475" xr:uid="{00000000-0005-0000-0000-000028190000}"/>
    <cellStyle name="Normal 58 3" xfId="6476" xr:uid="{00000000-0005-0000-0000-000029190000}"/>
    <cellStyle name="Normal 58 3 2" xfId="6477" xr:uid="{00000000-0005-0000-0000-00002A190000}"/>
    <cellStyle name="Normal 58 3 2 2" xfId="6478" xr:uid="{00000000-0005-0000-0000-00002B190000}"/>
    <cellStyle name="Normal 58 3 2 2 2" xfId="6479" xr:uid="{00000000-0005-0000-0000-00002C190000}"/>
    <cellStyle name="Normal 58 3 2 3" xfId="6480" xr:uid="{00000000-0005-0000-0000-00002D190000}"/>
    <cellStyle name="Normal 58 3 2 3 2" xfId="6481" xr:uid="{00000000-0005-0000-0000-00002E190000}"/>
    <cellStyle name="Normal 58 3 2 4" xfId="6482" xr:uid="{00000000-0005-0000-0000-00002F190000}"/>
    <cellStyle name="Normal 58 3 3" xfId="6483" xr:uid="{00000000-0005-0000-0000-000030190000}"/>
    <cellStyle name="Normal 58 3 3 2" xfId="6484" xr:uid="{00000000-0005-0000-0000-000031190000}"/>
    <cellStyle name="Normal 58 3 4" xfId="6485" xr:uid="{00000000-0005-0000-0000-000032190000}"/>
    <cellStyle name="Normal 58 3 4 2" xfId="6486" xr:uid="{00000000-0005-0000-0000-000033190000}"/>
    <cellStyle name="Normal 58 3 5" xfId="6487" xr:uid="{00000000-0005-0000-0000-000034190000}"/>
    <cellStyle name="Normal 58 4" xfId="6488" xr:uid="{00000000-0005-0000-0000-000035190000}"/>
    <cellStyle name="Normal 58 4 2" xfId="6489" xr:uid="{00000000-0005-0000-0000-000036190000}"/>
    <cellStyle name="Normal 58 4 2 2" xfId="6490" xr:uid="{00000000-0005-0000-0000-000037190000}"/>
    <cellStyle name="Normal 58 4 3" xfId="6491" xr:uid="{00000000-0005-0000-0000-000038190000}"/>
    <cellStyle name="Normal 58 4 3 2" xfId="6492" xr:uid="{00000000-0005-0000-0000-000039190000}"/>
    <cellStyle name="Normal 58 4 4" xfId="6493" xr:uid="{00000000-0005-0000-0000-00003A190000}"/>
    <cellStyle name="Normal 58 5" xfId="6494" xr:uid="{00000000-0005-0000-0000-00003B190000}"/>
    <cellStyle name="Normal 58 5 2" xfId="6495" xr:uid="{00000000-0005-0000-0000-00003C190000}"/>
    <cellStyle name="Normal 58 6" xfId="6496" xr:uid="{00000000-0005-0000-0000-00003D190000}"/>
    <cellStyle name="Normal 58 6 2" xfId="6497" xr:uid="{00000000-0005-0000-0000-00003E190000}"/>
    <cellStyle name="Normal 58 7" xfId="6498" xr:uid="{00000000-0005-0000-0000-00003F190000}"/>
    <cellStyle name="Normal 59" xfId="6499" xr:uid="{00000000-0005-0000-0000-000040190000}"/>
    <cellStyle name="Normal 59 2" xfId="6500" xr:uid="{00000000-0005-0000-0000-000041190000}"/>
    <cellStyle name="Normal 59 2 2" xfId="6501" xr:uid="{00000000-0005-0000-0000-000042190000}"/>
    <cellStyle name="Normal 59 2 2 2" xfId="6502" xr:uid="{00000000-0005-0000-0000-000043190000}"/>
    <cellStyle name="Normal 59 2 2 2 2" xfId="6503" xr:uid="{00000000-0005-0000-0000-000044190000}"/>
    <cellStyle name="Normal 59 2 2 2 2 2" xfId="6504" xr:uid="{00000000-0005-0000-0000-000045190000}"/>
    <cellStyle name="Normal 59 2 2 2 3" xfId="6505" xr:uid="{00000000-0005-0000-0000-000046190000}"/>
    <cellStyle name="Normal 59 2 2 2 3 2" xfId="6506" xr:uid="{00000000-0005-0000-0000-000047190000}"/>
    <cellStyle name="Normal 59 2 2 2 4" xfId="6507" xr:uid="{00000000-0005-0000-0000-000048190000}"/>
    <cellStyle name="Normal 59 2 2 3" xfId="6508" xr:uid="{00000000-0005-0000-0000-000049190000}"/>
    <cellStyle name="Normal 59 2 2 3 2" xfId="6509" xr:uid="{00000000-0005-0000-0000-00004A190000}"/>
    <cellStyle name="Normal 59 2 2 4" xfId="6510" xr:uid="{00000000-0005-0000-0000-00004B190000}"/>
    <cellStyle name="Normal 59 2 2 4 2" xfId="6511" xr:uid="{00000000-0005-0000-0000-00004C190000}"/>
    <cellStyle name="Normal 59 2 2 5" xfId="6512" xr:uid="{00000000-0005-0000-0000-00004D190000}"/>
    <cellStyle name="Normal 59 2 3" xfId="6513" xr:uid="{00000000-0005-0000-0000-00004E190000}"/>
    <cellStyle name="Normal 59 2 3 2" xfId="6514" xr:uid="{00000000-0005-0000-0000-00004F190000}"/>
    <cellStyle name="Normal 59 2 3 2 2" xfId="6515" xr:uid="{00000000-0005-0000-0000-000050190000}"/>
    <cellStyle name="Normal 59 2 3 3" xfId="6516" xr:uid="{00000000-0005-0000-0000-000051190000}"/>
    <cellStyle name="Normal 59 2 3 3 2" xfId="6517" xr:uid="{00000000-0005-0000-0000-000052190000}"/>
    <cellStyle name="Normal 59 2 3 4" xfId="6518" xr:uid="{00000000-0005-0000-0000-000053190000}"/>
    <cellStyle name="Normal 59 2 4" xfId="6519" xr:uid="{00000000-0005-0000-0000-000054190000}"/>
    <cellStyle name="Normal 59 2 4 2" xfId="6520" xr:uid="{00000000-0005-0000-0000-000055190000}"/>
    <cellStyle name="Normal 59 2 5" xfId="6521" xr:uid="{00000000-0005-0000-0000-000056190000}"/>
    <cellStyle name="Normal 59 2 5 2" xfId="6522" xr:uid="{00000000-0005-0000-0000-000057190000}"/>
    <cellStyle name="Normal 59 2 6" xfId="6523" xr:uid="{00000000-0005-0000-0000-000058190000}"/>
    <cellStyle name="Normal 59 3" xfId="6524" xr:uid="{00000000-0005-0000-0000-000059190000}"/>
    <cellStyle name="Normal 59 3 2" xfId="6525" xr:uid="{00000000-0005-0000-0000-00005A190000}"/>
    <cellStyle name="Normal 59 3 2 2" xfId="6526" xr:uid="{00000000-0005-0000-0000-00005B190000}"/>
    <cellStyle name="Normal 59 3 2 2 2" xfId="6527" xr:uid="{00000000-0005-0000-0000-00005C190000}"/>
    <cellStyle name="Normal 59 3 2 3" xfId="6528" xr:uid="{00000000-0005-0000-0000-00005D190000}"/>
    <cellStyle name="Normal 59 3 2 3 2" xfId="6529" xr:uid="{00000000-0005-0000-0000-00005E190000}"/>
    <cellStyle name="Normal 59 3 2 4" xfId="6530" xr:uid="{00000000-0005-0000-0000-00005F190000}"/>
    <cellStyle name="Normal 59 3 3" xfId="6531" xr:uid="{00000000-0005-0000-0000-000060190000}"/>
    <cellStyle name="Normal 59 3 3 2" xfId="6532" xr:uid="{00000000-0005-0000-0000-000061190000}"/>
    <cellStyle name="Normal 59 3 4" xfId="6533" xr:uid="{00000000-0005-0000-0000-000062190000}"/>
    <cellStyle name="Normal 59 3 4 2" xfId="6534" xr:uid="{00000000-0005-0000-0000-000063190000}"/>
    <cellStyle name="Normal 59 3 5" xfId="6535" xr:uid="{00000000-0005-0000-0000-000064190000}"/>
    <cellStyle name="Normal 59 4" xfId="6536" xr:uid="{00000000-0005-0000-0000-000065190000}"/>
    <cellStyle name="Normal 59 4 2" xfId="6537" xr:uid="{00000000-0005-0000-0000-000066190000}"/>
    <cellStyle name="Normal 59 4 2 2" xfId="6538" xr:uid="{00000000-0005-0000-0000-000067190000}"/>
    <cellStyle name="Normal 59 4 3" xfId="6539" xr:uid="{00000000-0005-0000-0000-000068190000}"/>
    <cellStyle name="Normal 59 4 3 2" xfId="6540" xr:uid="{00000000-0005-0000-0000-000069190000}"/>
    <cellStyle name="Normal 59 4 4" xfId="6541" xr:uid="{00000000-0005-0000-0000-00006A190000}"/>
    <cellStyle name="Normal 59 5" xfId="6542" xr:uid="{00000000-0005-0000-0000-00006B190000}"/>
    <cellStyle name="Normal 59 5 2" xfId="6543" xr:uid="{00000000-0005-0000-0000-00006C190000}"/>
    <cellStyle name="Normal 59 6" xfId="6544" xr:uid="{00000000-0005-0000-0000-00006D190000}"/>
    <cellStyle name="Normal 59 6 2" xfId="6545" xr:uid="{00000000-0005-0000-0000-00006E190000}"/>
    <cellStyle name="Normal 59 7" xfId="6546" xr:uid="{00000000-0005-0000-0000-00006F190000}"/>
    <cellStyle name="Normal 6" xfId="102" xr:uid="{00000000-0005-0000-0000-000070190000}"/>
    <cellStyle name="Normal 6 10" xfId="6548" xr:uid="{00000000-0005-0000-0000-000071190000}"/>
    <cellStyle name="Normal 6 11" xfId="6547" xr:uid="{00000000-0005-0000-0000-000072190000}"/>
    <cellStyle name="Normal 6 2" xfId="235" xr:uid="{00000000-0005-0000-0000-000073190000}"/>
    <cellStyle name="Normal 6 2 2" xfId="6550" xr:uid="{00000000-0005-0000-0000-000074190000}"/>
    <cellStyle name="Normal 6 2 2 2" xfId="6551" xr:uid="{00000000-0005-0000-0000-000075190000}"/>
    <cellStyle name="Normal 6 2 2 2 2" xfId="6552" xr:uid="{00000000-0005-0000-0000-000076190000}"/>
    <cellStyle name="Normal 6 2 2 2 2 2" xfId="6553" xr:uid="{00000000-0005-0000-0000-000077190000}"/>
    <cellStyle name="Normal 6 2 2 2 2 2 2" xfId="6554" xr:uid="{00000000-0005-0000-0000-000078190000}"/>
    <cellStyle name="Normal 6 2 2 2 2 2 2 2" xfId="6555" xr:uid="{00000000-0005-0000-0000-000079190000}"/>
    <cellStyle name="Normal 6 2 2 2 2 2 3" xfId="6556" xr:uid="{00000000-0005-0000-0000-00007A190000}"/>
    <cellStyle name="Normal 6 2 2 2 2 2 3 2" xfId="6557" xr:uid="{00000000-0005-0000-0000-00007B190000}"/>
    <cellStyle name="Normal 6 2 2 2 2 2 4" xfId="6558" xr:uid="{00000000-0005-0000-0000-00007C190000}"/>
    <cellStyle name="Normal 6 2 2 2 2 3" xfId="6559" xr:uid="{00000000-0005-0000-0000-00007D190000}"/>
    <cellStyle name="Normal 6 2 2 2 2 3 2" xfId="6560" xr:uid="{00000000-0005-0000-0000-00007E190000}"/>
    <cellStyle name="Normal 6 2 2 2 2 4" xfId="6561" xr:uid="{00000000-0005-0000-0000-00007F190000}"/>
    <cellStyle name="Normal 6 2 2 2 2 4 2" xfId="6562" xr:uid="{00000000-0005-0000-0000-000080190000}"/>
    <cellStyle name="Normal 6 2 2 2 2 5" xfId="6563" xr:uid="{00000000-0005-0000-0000-000081190000}"/>
    <cellStyle name="Normal 6 2 2 2 3" xfId="6564" xr:uid="{00000000-0005-0000-0000-000082190000}"/>
    <cellStyle name="Normal 6 2 2 2 3 2" xfId="6565" xr:uid="{00000000-0005-0000-0000-000083190000}"/>
    <cellStyle name="Normal 6 2 2 2 3 2 2" xfId="6566" xr:uid="{00000000-0005-0000-0000-000084190000}"/>
    <cellStyle name="Normal 6 2 2 2 3 3" xfId="6567" xr:uid="{00000000-0005-0000-0000-000085190000}"/>
    <cellStyle name="Normal 6 2 2 2 3 3 2" xfId="6568" xr:uid="{00000000-0005-0000-0000-000086190000}"/>
    <cellStyle name="Normal 6 2 2 2 3 4" xfId="6569" xr:uid="{00000000-0005-0000-0000-000087190000}"/>
    <cellStyle name="Normal 6 2 2 2 4" xfId="6570" xr:uid="{00000000-0005-0000-0000-000088190000}"/>
    <cellStyle name="Normal 6 2 2 2 4 2" xfId="6571" xr:uid="{00000000-0005-0000-0000-000089190000}"/>
    <cellStyle name="Normal 6 2 2 2 5" xfId="6572" xr:uid="{00000000-0005-0000-0000-00008A190000}"/>
    <cellStyle name="Normal 6 2 2 2 5 2" xfId="6573" xr:uid="{00000000-0005-0000-0000-00008B190000}"/>
    <cellStyle name="Normal 6 2 2 2 6" xfId="6574" xr:uid="{00000000-0005-0000-0000-00008C190000}"/>
    <cellStyle name="Normal 6 2 2 3" xfId="6575" xr:uid="{00000000-0005-0000-0000-00008D190000}"/>
    <cellStyle name="Normal 6 2 2 3 2" xfId="6576" xr:uid="{00000000-0005-0000-0000-00008E190000}"/>
    <cellStyle name="Normal 6 2 2 3 2 2" xfId="6577" xr:uid="{00000000-0005-0000-0000-00008F190000}"/>
    <cellStyle name="Normal 6 2 2 3 2 2 2" xfId="6578" xr:uid="{00000000-0005-0000-0000-000090190000}"/>
    <cellStyle name="Normal 6 2 2 3 2 3" xfId="6579" xr:uid="{00000000-0005-0000-0000-000091190000}"/>
    <cellStyle name="Normal 6 2 2 3 2 3 2" xfId="6580" xr:uid="{00000000-0005-0000-0000-000092190000}"/>
    <cellStyle name="Normal 6 2 2 3 2 4" xfId="6581" xr:uid="{00000000-0005-0000-0000-000093190000}"/>
    <cellStyle name="Normal 6 2 2 3 3" xfId="6582" xr:uid="{00000000-0005-0000-0000-000094190000}"/>
    <cellStyle name="Normal 6 2 2 3 3 2" xfId="6583" xr:uid="{00000000-0005-0000-0000-000095190000}"/>
    <cellStyle name="Normal 6 2 2 3 4" xfId="6584" xr:uid="{00000000-0005-0000-0000-000096190000}"/>
    <cellStyle name="Normal 6 2 2 3 4 2" xfId="6585" xr:uid="{00000000-0005-0000-0000-000097190000}"/>
    <cellStyle name="Normal 6 2 2 3 5" xfId="6586" xr:uid="{00000000-0005-0000-0000-000098190000}"/>
    <cellStyle name="Normal 6 2 2 4" xfId="6587" xr:uid="{00000000-0005-0000-0000-000099190000}"/>
    <cellStyle name="Normal 6 2 2 4 2" xfId="6588" xr:uid="{00000000-0005-0000-0000-00009A190000}"/>
    <cellStyle name="Normal 6 2 2 4 2 2" xfId="6589" xr:uid="{00000000-0005-0000-0000-00009B190000}"/>
    <cellStyle name="Normal 6 2 2 4 3" xfId="6590" xr:uid="{00000000-0005-0000-0000-00009C190000}"/>
    <cellStyle name="Normal 6 2 2 4 3 2" xfId="6591" xr:uid="{00000000-0005-0000-0000-00009D190000}"/>
    <cellStyle name="Normal 6 2 2 4 4" xfId="6592" xr:uid="{00000000-0005-0000-0000-00009E190000}"/>
    <cellStyle name="Normal 6 2 2 5" xfId="6593" xr:uid="{00000000-0005-0000-0000-00009F190000}"/>
    <cellStyle name="Normal 6 2 2 5 2" xfId="6594" xr:uid="{00000000-0005-0000-0000-0000A0190000}"/>
    <cellStyle name="Normal 6 2 2 6" xfId="6595" xr:uid="{00000000-0005-0000-0000-0000A1190000}"/>
    <cellStyle name="Normal 6 2 2 6 2" xfId="6596" xr:uid="{00000000-0005-0000-0000-0000A2190000}"/>
    <cellStyle name="Normal 6 2 2 7" xfId="6597" xr:uid="{00000000-0005-0000-0000-0000A3190000}"/>
    <cellStyle name="Normal 6 2 3" xfId="6598" xr:uid="{00000000-0005-0000-0000-0000A4190000}"/>
    <cellStyle name="Normal 6 2 3 2" xfId="6599" xr:uid="{00000000-0005-0000-0000-0000A5190000}"/>
    <cellStyle name="Normal 6 2 3 2 2" xfId="6600" xr:uid="{00000000-0005-0000-0000-0000A6190000}"/>
    <cellStyle name="Normal 6 2 3 2 2 2" xfId="6601" xr:uid="{00000000-0005-0000-0000-0000A7190000}"/>
    <cellStyle name="Normal 6 2 3 2 2 2 2" xfId="6602" xr:uid="{00000000-0005-0000-0000-0000A8190000}"/>
    <cellStyle name="Normal 6 2 3 2 2 3" xfId="6603" xr:uid="{00000000-0005-0000-0000-0000A9190000}"/>
    <cellStyle name="Normal 6 2 3 2 2 3 2" xfId="6604" xr:uid="{00000000-0005-0000-0000-0000AA190000}"/>
    <cellStyle name="Normal 6 2 3 2 2 4" xfId="6605" xr:uid="{00000000-0005-0000-0000-0000AB190000}"/>
    <cellStyle name="Normal 6 2 3 2 3" xfId="6606" xr:uid="{00000000-0005-0000-0000-0000AC190000}"/>
    <cellStyle name="Normal 6 2 3 2 3 2" xfId="6607" xr:uid="{00000000-0005-0000-0000-0000AD190000}"/>
    <cellStyle name="Normal 6 2 3 2 4" xfId="6608" xr:uid="{00000000-0005-0000-0000-0000AE190000}"/>
    <cellStyle name="Normal 6 2 3 2 4 2" xfId="6609" xr:uid="{00000000-0005-0000-0000-0000AF190000}"/>
    <cellStyle name="Normal 6 2 3 2 5" xfId="6610" xr:uid="{00000000-0005-0000-0000-0000B0190000}"/>
    <cellStyle name="Normal 6 2 3 3" xfId="6611" xr:uid="{00000000-0005-0000-0000-0000B1190000}"/>
    <cellStyle name="Normal 6 2 3 3 2" xfId="6612" xr:uid="{00000000-0005-0000-0000-0000B2190000}"/>
    <cellStyle name="Normal 6 2 3 3 2 2" xfId="6613" xr:uid="{00000000-0005-0000-0000-0000B3190000}"/>
    <cellStyle name="Normal 6 2 3 3 3" xfId="6614" xr:uid="{00000000-0005-0000-0000-0000B4190000}"/>
    <cellStyle name="Normal 6 2 3 3 3 2" xfId="6615" xr:uid="{00000000-0005-0000-0000-0000B5190000}"/>
    <cellStyle name="Normal 6 2 3 3 4" xfId="6616" xr:uid="{00000000-0005-0000-0000-0000B6190000}"/>
    <cellStyle name="Normal 6 2 3 4" xfId="6617" xr:uid="{00000000-0005-0000-0000-0000B7190000}"/>
    <cellStyle name="Normal 6 2 3 4 2" xfId="6618" xr:uid="{00000000-0005-0000-0000-0000B8190000}"/>
    <cellStyle name="Normal 6 2 3 5" xfId="6619" xr:uid="{00000000-0005-0000-0000-0000B9190000}"/>
    <cellStyle name="Normal 6 2 3 5 2" xfId="6620" xr:uid="{00000000-0005-0000-0000-0000BA190000}"/>
    <cellStyle name="Normal 6 2 3 6" xfId="6621" xr:uid="{00000000-0005-0000-0000-0000BB190000}"/>
    <cellStyle name="Normal 6 2 4" xfId="6622" xr:uid="{00000000-0005-0000-0000-0000BC190000}"/>
    <cellStyle name="Normal 6 2 4 2" xfId="6623" xr:uid="{00000000-0005-0000-0000-0000BD190000}"/>
    <cellStyle name="Normal 6 2 4 2 2" xfId="6624" xr:uid="{00000000-0005-0000-0000-0000BE190000}"/>
    <cellStyle name="Normal 6 2 4 2 2 2" xfId="6625" xr:uid="{00000000-0005-0000-0000-0000BF190000}"/>
    <cellStyle name="Normal 6 2 4 2 3" xfId="6626" xr:uid="{00000000-0005-0000-0000-0000C0190000}"/>
    <cellStyle name="Normal 6 2 4 2 3 2" xfId="6627" xr:uid="{00000000-0005-0000-0000-0000C1190000}"/>
    <cellStyle name="Normal 6 2 4 2 4" xfId="6628" xr:uid="{00000000-0005-0000-0000-0000C2190000}"/>
    <cellStyle name="Normal 6 2 4 3" xfId="6629" xr:uid="{00000000-0005-0000-0000-0000C3190000}"/>
    <cellStyle name="Normal 6 2 4 3 2" xfId="6630" xr:uid="{00000000-0005-0000-0000-0000C4190000}"/>
    <cellStyle name="Normal 6 2 4 4" xfId="6631" xr:uid="{00000000-0005-0000-0000-0000C5190000}"/>
    <cellStyle name="Normal 6 2 4 4 2" xfId="6632" xr:uid="{00000000-0005-0000-0000-0000C6190000}"/>
    <cellStyle name="Normal 6 2 4 5" xfId="6633" xr:uid="{00000000-0005-0000-0000-0000C7190000}"/>
    <cellStyle name="Normal 6 2 5" xfId="6634" xr:uid="{00000000-0005-0000-0000-0000C8190000}"/>
    <cellStyle name="Normal 6 2 5 2" xfId="6635" xr:uid="{00000000-0005-0000-0000-0000C9190000}"/>
    <cellStyle name="Normal 6 2 5 2 2" xfId="6636" xr:uid="{00000000-0005-0000-0000-0000CA190000}"/>
    <cellStyle name="Normal 6 2 5 3" xfId="6637" xr:uid="{00000000-0005-0000-0000-0000CB190000}"/>
    <cellStyle name="Normal 6 2 5 3 2" xfId="6638" xr:uid="{00000000-0005-0000-0000-0000CC190000}"/>
    <cellStyle name="Normal 6 2 5 4" xfId="6639" xr:uid="{00000000-0005-0000-0000-0000CD190000}"/>
    <cellStyle name="Normal 6 2 6" xfId="6640" xr:uid="{00000000-0005-0000-0000-0000CE190000}"/>
    <cellStyle name="Normal 6 2 6 2" xfId="6641" xr:uid="{00000000-0005-0000-0000-0000CF190000}"/>
    <cellStyle name="Normal 6 2 7" xfId="6642" xr:uid="{00000000-0005-0000-0000-0000D0190000}"/>
    <cellStyle name="Normal 6 2 7 2" xfId="6643" xr:uid="{00000000-0005-0000-0000-0000D1190000}"/>
    <cellStyle name="Normal 6 2 8" xfId="6644" xr:uid="{00000000-0005-0000-0000-0000D2190000}"/>
    <cellStyle name="Normal 6 2 9" xfId="6549" xr:uid="{00000000-0005-0000-0000-0000D3190000}"/>
    <cellStyle name="Normal 6 3" xfId="6645" xr:uid="{00000000-0005-0000-0000-0000D4190000}"/>
    <cellStyle name="Normal 6 3 2" xfId="6646" xr:uid="{00000000-0005-0000-0000-0000D5190000}"/>
    <cellStyle name="Normal 6 3 2 2" xfId="6647" xr:uid="{00000000-0005-0000-0000-0000D6190000}"/>
    <cellStyle name="Normal 6 3 2 2 2" xfId="6648" xr:uid="{00000000-0005-0000-0000-0000D7190000}"/>
    <cellStyle name="Normal 6 3 2 2 2 2" xfId="6649" xr:uid="{00000000-0005-0000-0000-0000D8190000}"/>
    <cellStyle name="Normal 6 3 2 2 2 2 2" xfId="6650" xr:uid="{00000000-0005-0000-0000-0000D9190000}"/>
    <cellStyle name="Normal 6 3 2 2 2 3" xfId="6651" xr:uid="{00000000-0005-0000-0000-0000DA190000}"/>
    <cellStyle name="Normal 6 3 2 2 2 3 2" xfId="6652" xr:uid="{00000000-0005-0000-0000-0000DB190000}"/>
    <cellStyle name="Normal 6 3 2 2 2 4" xfId="6653" xr:uid="{00000000-0005-0000-0000-0000DC190000}"/>
    <cellStyle name="Normal 6 3 2 2 3" xfId="6654" xr:uid="{00000000-0005-0000-0000-0000DD190000}"/>
    <cellStyle name="Normal 6 3 2 2 3 2" xfId="6655" xr:uid="{00000000-0005-0000-0000-0000DE190000}"/>
    <cellStyle name="Normal 6 3 2 2 4" xfId="6656" xr:uid="{00000000-0005-0000-0000-0000DF190000}"/>
    <cellStyle name="Normal 6 3 2 2 4 2" xfId="6657" xr:uid="{00000000-0005-0000-0000-0000E0190000}"/>
    <cellStyle name="Normal 6 3 2 2 5" xfId="6658" xr:uid="{00000000-0005-0000-0000-0000E1190000}"/>
    <cellStyle name="Normal 6 3 2 3" xfId="6659" xr:uid="{00000000-0005-0000-0000-0000E2190000}"/>
    <cellStyle name="Normal 6 3 2 3 2" xfId="6660" xr:uid="{00000000-0005-0000-0000-0000E3190000}"/>
    <cellStyle name="Normal 6 3 2 3 2 2" xfId="6661" xr:uid="{00000000-0005-0000-0000-0000E4190000}"/>
    <cellStyle name="Normal 6 3 2 3 3" xfId="6662" xr:uid="{00000000-0005-0000-0000-0000E5190000}"/>
    <cellStyle name="Normal 6 3 2 3 3 2" xfId="6663" xr:uid="{00000000-0005-0000-0000-0000E6190000}"/>
    <cellStyle name="Normal 6 3 2 3 4" xfId="6664" xr:uid="{00000000-0005-0000-0000-0000E7190000}"/>
    <cellStyle name="Normal 6 3 2 4" xfId="6665" xr:uid="{00000000-0005-0000-0000-0000E8190000}"/>
    <cellStyle name="Normal 6 3 2 4 2" xfId="6666" xr:uid="{00000000-0005-0000-0000-0000E9190000}"/>
    <cellStyle name="Normal 6 3 2 5" xfId="6667" xr:uid="{00000000-0005-0000-0000-0000EA190000}"/>
    <cellStyle name="Normal 6 3 2 5 2" xfId="6668" xr:uid="{00000000-0005-0000-0000-0000EB190000}"/>
    <cellStyle name="Normal 6 3 2 6" xfId="6669" xr:uid="{00000000-0005-0000-0000-0000EC190000}"/>
    <cellStyle name="Normal 6 3 3" xfId="6670" xr:uid="{00000000-0005-0000-0000-0000ED190000}"/>
    <cellStyle name="Normal 6 3 3 2" xfId="6671" xr:uid="{00000000-0005-0000-0000-0000EE190000}"/>
    <cellStyle name="Normal 6 3 3 2 2" xfId="6672" xr:uid="{00000000-0005-0000-0000-0000EF190000}"/>
    <cellStyle name="Normal 6 3 3 2 2 2" xfId="6673" xr:uid="{00000000-0005-0000-0000-0000F0190000}"/>
    <cellStyle name="Normal 6 3 3 2 3" xfId="6674" xr:uid="{00000000-0005-0000-0000-0000F1190000}"/>
    <cellStyle name="Normal 6 3 3 2 3 2" xfId="6675" xr:uid="{00000000-0005-0000-0000-0000F2190000}"/>
    <cellStyle name="Normal 6 3 3 2 4" xfId="6676" xr:uid="{00000000-0005-0000-0000-0000F3190000}"/>
    <cellStyle name="Normal 6 3 3 3" xfId="6677" xr:uid="{00000000-0005-0000-0000-0000F4190000}"/>
    <cellStyle name="Normal 6 3 3 3 2" xfId="6678" xr:uid="{00000000-0005-0000-0000-0000F5190000}"/>
    <cellStyle name="Normal 6 3 3 4" xfId="6679" xr:uid="{00000000-0005-0000-0000-0000F6190000}"/>
    <cellStyle name="Normal 6 3 3 4 2" xfId="6680" xr:uid="{00000000-0005-0000-0000-0000F7190000}"/>
    <cellStyle name="Normal 6 3 3 5" xfId="6681" xr:uid="{00000000-0005-0000-0000-0000F8190000}"/>
    <cellStyle name="Normal 6 3 4" xfId="6682" xr:uid="{00000000-0005-0000-0000-0000F9190000}"/>
    <cellStyle name="Normal 6 3 4 2" xfId="6683" xr:uid="{00000000-0005-0000-0000-0000FA190000}"/>
    <cellStyle name="Normal 6 3 4 2 2" xfId="6684" xr:uid="{00000000-0005-0000-0000-0000FB190000}"/>
    <cellStyle name="Normal 6 3 4 3" xfId="6685" xr:uid="{00000000-0005-0000-0000-0000FC190000}"/>
    <cellStyle name="Normal 6 3 4 3 2" xfId="6686" xr:uid="{00000000-0005-0000-0000-0000FD190000}"/>
    <cellStyle name="Normal 6 3 4 4" xfId="6687" xr:uid="{00000000-0005-0000-0000-0000FE190000}"/>
    <cellStyle name="Normal 6 3 5" xfId="6688" xr:uid="{00000000-0005-0000-0000-0000FF190000}"/>
    <cellStyle name="Normal 6 3 5 2" xfId="6689" xr:uid="{00000000-0005-0000-0000-0000001A0000}"/>
    <cellStyle name="Normal 6 3 6" xfId="6690" xr:uid="{00000000-0005-0000-0000-0000011A0000}"/>
    <cellStyle name="Normal 6 3 6 2" xfId="6691" xr:uid="{00000000-0005-0000-0000-0000021A0000}"/>
    <cellStyle name="Normal 6 3 7" xfId="6692" xr:uid="{00000000-0005-0000-0000-0000031A0000}"/>
    <cellStyle name="Normal 6 3 8" xfId="6693" xr:uid="{00000000-0005-0000-0000-0000041A0000}"/>
    <cellStyle name="Normal 6 4" xfId="6694" xr:uid="{00000000-0005-0000-0000-0000051A0000}"/>
    <cellStyle name="Normal 6 4 2" xfId="6695" xr:uid="{00000000-0005-0000-0000-0000061A0000}"/>
    <cellStyle name="Normal 6 4 2 2" xfId="6696" xr:uid="{00000000-0005-0000-0000-0000071A0000}"/>
    <cellStyle name="Normal 6 4 2 2 2" xfId="6697" xr:uid="{00000000-0005-0000-0000-0000081A0000}"/>
    <cellStyle name="Normal 6 4 2 2 2 2" xfId="6698" xr:uid="{00000000-0005-0000-0000-0000091A0000}"/>
    <cellStyle name="Normal 6 4 2 2 2 2 2" xfId="6699" xr:uid="{00000000-0005-0000-0000-00000A1A0000}"/>
    <cellStyle name="Normal 6 4 2 2 2 3" xfId="6700" xr:uid="{00000000-0005-0000-0000-00000B1A0000}"/>
    <cellStyle name="Normal 6 4 2 2 2 3 2" xfId="6701" xr:uid="{00000000-0005-0000-0000-00000C1A0000}"/>
    <cellStyle name="Normal 6 4 2 2 2 4" xfId="6702" xr:uid="{00000000-0005-0000-0000-00000D1A0000}"/>
    <cellStyle name="Normal 6 4 2 2 3" xfId="6703" xr:uid="{00000000-0005-0000-0000-00000E1A0000}"/>
    <cellStyle name="Normal 6 4 2 2 3 2" xfId="6704" xr:uid="{00000000-0005-0000-0000-00000F1A0000}"/>
    <cellStyle name="Normal 6 4 2 2 4" xfId="6705" xr:uid="{00000000-0005-0000-0000-0000101A0000}"/>
    <cellStyle name="Normal 6 4 2 2 4 2" xfId="6706" xr:uid="{00000000-0005-0000-0000-0000111A0000}"/>
    <cellStyle name="Normal 6 4 2 2 5" xfId="6707" xr:uid="{00000000-0005-0000-0000-0000121A0000}"/>
    <cellStyle name="Normal 6 4 2 3" xfId="6708" xr:uid="{00000000-0005-0000-0000-0000131A0000}"/>
    <cellStyle name="Normal 6 4 2 3 2" xfId="6709" xr:uid="{00000000-0005-0000-0000-0000141A0000}"/>
    <cellStyle name="Normal 6 4 2 3 2 2" xfId="6710" xr:uid="{00000000-0005-0000-0000-0000151A0000}"/>
    <cellStyle name="Normal 6 4 2 3 3" xfId="6711" xr:uid="{00000000-0005-0000-0000-0000161A0000}"/>
    <cellStyle name="Normal 6 4 2 3 3 2" xfId="6712" xr:uid="{00000000-0005-0000-0000-0000171A0000}"/>
    <cellStyle name="Normal 6 4 2 3 4" xfId="6713" xr:uid="{00000000-0005-0000-0000-0000181A0000}"/>
    <cellStyle name="Normal 6 4 2 4" xfId="6714" xr:uid="{00000000-0005-0000-0000-0000191A0000}"/>
    <cellStyle name="Normal 6 4 2 4 2" xfId="6715" xr:uid="{00000000-0005-0000-0000-00001A1A0000}"/>
    <cellStyle name="Normal 6 4 2 5" xfId="6716" xr:uid="{00000000-0005-0000-0000-00001B1A0000}"/>
    <cellStyle name="Normal 6 4 2 5 2" xfId="6717" xr:uid="{00000000-0005-0000-0000-00001C1A0000}"/>
    <cellStyle name="Normal 6 4 2 6" xfId="6718" xr:uid="{00000000-0005-0000-0000-00001D1A0000}"/>
    <cellStyle name="Normal 6 4 3" xfId="6719" xr:uid="{00000000-0005-0000-0000-00001E1A0000}"/>
    <cellStyle name="Normal 6 4 3 2" xfId="6720" xr:uid="{00000000-0005-0000-0000-00001F1A0000}"/>
    <cellStyle name="Normal 6 4 3 2 2" xfId="6721" xr:uid="{00000000-0005-0000-0000-0000201A0000}"/>
    <cellStyle name="Normal 6 4 3 2 2 2" xfId="6722" xr:uid="{00000000-0005-0000-0000-0000211A0000}"/>
    <cellStyle name="Normal 6 4 3 2 3" xfId="6723" xr:uid="{00000000-0005-0000-0000-0000221A0000}"/>
    <cellStyle name="Normal 6 4 3 2 3 2" xfId="6724" xr:uid="{00000000-0005-0000-0000-0000231A0000}"/>
    <cellStyle name="Normal 6 4 3 2 4" xfId="6725" xr:uid="{00000000-0005-0000-0000-0000241A0000}"/>
    <cellStyle name="Normal 6 4 3 3" xfId="6726" xr:uid="{00000000-0005-0000-0000-0000251A0000}"/>
    <cellStyle name="Normal 6 4 3 3 2" xfId="6727" xr:uid="{00000000-0005-0000-0000-0000261A0000}"/>
    <cellStyle name="Normal 6 4 3 4" xfId="6728" xr:uid="{00000000-0005-0000-0000-0000271A0000}"/>
    <cellStyle name="Normal 6 4 3 4 2" xfId="6729" xr:uid="{00000000-0005-0000-0000-0000281A0000}"/>
    <cellStyle name="Normal 6 4 3 5" xfId="6730" xr:uid="{00000000-0005-0000-0000-0000291A0000}"/>
    <cellStyle name="Normal 6 4 4" xfId="6731" xr:uid="{00000000-0005-0000-0000-00002A1A0000}"/>
    <cellStyle name="Normal 6 4 4 2" xfId="6732" xr:uid="{00000000-0005-0000-0000-00002B1A0000}"/>
    <cellStyle name="Normal 6 4 4 2 2" xfId="6733" xr:uid="{00000000-0005-0000-0000-00002C1A0000}"/>
    <cellStyle name="Normal 6 4 4 3" xfId="6734" xr:uid="{00000000-0005-0000-0000-00002D1A0000}"/>
    <cellStyle name="Normal 6 4 4 3 2" xfId="6735" xr:uid="{00000000-0005-0000-0000-00002E1A0000}"/>
    <cellStyle name="Normal 6 4 4 4" xfId="6736" xr:uid="{00000000-0005-0000-0000-00002F1A0000}"/>
    <cellStyle name="Normal 6 4 5" xfId="6737" xr:uid="{00000000-0005-0000-0000-0000301A0000}"/>
    <cellStyle name="Normal 6 4 5 2" xfId="6738" xr:uid="{00000000-0005-0000-0000-0000311A0000}"/>
    <cellStyle name="Normal 6 4 6" xfId="6739" xr:uid="{00000000-0005-0000-0000-0000321A0000}"/>
    <cellStyle name="Normal 6 4 6 2" xfId="6740" xr:uid="{00000000-0005-0000-0000-0000331A0000}"/>
    <cellStyle name="Normal 6 4 7" xfId="6741" xr:uid="{00000000-0005-0000-0000-0000341A0000}"/>
    <cellStyle name="Normal 6 5" xfId="6742" xr:uid="{00000000-0005-0000-0000-0000351A0000}"/>
    <cellStyle name="Normal 6 5 2" xfId="6743" xr:uid="{00000000-0005-0000-0000-0000361A0000}"/>
    <cellStyle name="Normal 6 5 2 2" xfId="6744" xr:uid="{00000000-0005-0000-0000-0000371A0000}"/>
    <cellStyle name="Normal 6 5 2 2 2" xfId="6745" xr:uid="{00000000-0005-0000-0000-0000381A0000}"/>
    <cellStyle name="Normal 6 5 2 2 2 2" xfId="6746" xr:uid="{00000000-0005-0000-0000-0000391A0000}"/>
    <cellStyle name="Normal 6 5 2 2 3" xfId="6747" xr:uid="{00000000-0005-0000-0000-00003A1A0000}"/>
    <cellStyle name="Normal 6 5 2 2 3 2" xfId="6748" xr:uid="{00000000-0005-0000-0000-00003B1A0000}"/>
    <cellStyle name="Normal 6 5 2 2 4" xfId="6749" xr:uid="{00000000-0005-0000-0000-00003C1A0000}"/>
    <cellStyle name="Normal 6 5 2 3" xfId="6750" xr:uid="{00000000-0005-0000-0000-00003D1A0000}"/>
    <cellStyle name="Normal 6 5 2 3 2" xfId="6751" xr:uid="{00000000-0005-0000-0000-00003E1A0000}"/>
    <cellStyle name="Normal 6 5 2 4" xfId="6752" xr:uid="{00000000-0005-0000-0000-00003F1A0000}"/>
    <cellStyle name="Normal 6 5 2 4 2" xfId="6753" xr:uid="{00000000-0005-0000-0000-0000401A0000}"/>
    <cellStyle name="Normal 6 5 2 5" xfId="6754" xr:uid="{00000000-0005-0000-0000-0000411A0000}"/>
    <cellStyle name="Normal 6 5 3" xfId="6755" xr:uid="{00000000-0005-0000-0000-0000421A0000}"/>
    <cellStyle name="Normal 6 5 3 2" xfId="6756" xr:uid="{00000000-0005-0000-0000-0000431A0000}"/>
    <cellStyle name="Normal 6 5 3 2 2" xfId="6757" xr:uid="{00000000-0005-0000-0000-0000441A0000}"/>
    <cellStyle name="Normal 6 5 3 3" xfId="6758" xr:uid="{00000000-0005-0000-0000-0000451A0000}"/>
    <cellStyle name="Normal 6 5 3 3 2" xfId="6759" xr:uid="{00000000-0005-0000-0000-0000461A0000}"/>
    <cellStyle name="Normal 6 5 3 4" xfId="6760" xr:uid="{00000000-0005-0000-0000-0000471A0000}"/>
    <cellStyle name="Normal 6 5 4" xfId="6761" xr:uid="{00000000-0005-0000-0000-0000481A0000}"/>
    <cellStyle name="Normal 6 5 4 2" xfId="6762" xr:uid="{00000000-0005-0000-0000-0000491A0000}"/>
    <cellStyle name="Normal 6 5 5" xfId="6763" xr:uid="{00000000-0005-0000-0000-00004A1A0000}"/>
    <cellStyle name="Normal 6 5 5 2" xfId="6764" xr:uid="{00000000-0005-0000-0000-00004B1A0000}"/>
    <cellStyle name="Normal 6 5 6" xfId="6765" xr:uid="{00000000-0005-0000-0000-00004C1A0000}"/>
    <cellStyle name="Normal 6 6" xfId="6766" xr:uid="{00000000-0005-0000-0000-00004D1A0000}"/>
    <cellStyle name="Normal 6 6 2" xfId="6767" xr:uid="{00000000-0005-0000-0000-00004E1A0000}"/>
    <cellStyle name="Normal 6 6 2 2" xfId="6768" xr:uid="{00000000-0005-0000-0000-00004F1A0000}"/>
    <cellStyle name="Normal 6 6 2 2 2" xfId="6769" xr:uid="{00000000-0005-0000-0000-0000501A0000}"/>
    <cellStyle name="Normal 6 6 2 3" xfId="6770" xr:uid="{00000000-0005-0000-0000-0000511A0000}"/>
    <cellStyle name="Normal 6 6 2 3 2" xfId="6771" xr:uid="{00000000-0005-0000-0000-0000521A0000}"/>
    <cellStyle name="Normal 6 6 2 4" xfId="6772" xr:uid="{00000000-0005-0000-0000-0000531A0000}"/>
    <cellStyle name="Normal 6 6 3" xfId="6773" xr:uid="{00000000-0005-0000-0000-0000541A0000}"/>
    <cellStyle name="Normal 6 6 3 2" xfId="6774" xr:uid="{00000000-0005-0000-0000-0000551A0000}"/>
    <cellStyle name="Normal 6 6 4" xfId="6775" xr:uid="{00000000-0005-0000-0000-0000561A0000}"/>
    <cellStyle name="Normal 6 6 4 2" xfId="6776" xr:uid="{00000000-0005-0000-0000-0000571A0000}"/>
    <cellStyle name="Normal 6 6 5" xfId="6777" xr:uid="{00000000-0005-0000-0000-0000581A0000}"/>
    <cellStyle name="Normal 6 7" xfId="6778" xr:uid="{00000000-0005-0000-0000-0000591A0000}"/>
    <cellStyle name="Normal 6 7 2" xfId="6779" xr:uid="{00000000-0005-0000-0000-00005A1A0000}"/>
    <cellStyle name="Normal 6 7 2 2" xfId="6780" xr:uid="{00000000-0005-0000-0000-00005B1A0000}"/>
    <cellStyle name="Normal 6 7 3" xfId="6781" xr:uid="{00000000-0005-0000-0000-00005C1A0000}"/>
    <cellStyle name="Normal 6 7 3 2" xfId="6782" xr:uid="{00000000-0005-0000-0000-00005D1A0000}"/>
    <cellStyle name="Normal 6 7 4" xfId="6783" xr:uid="{00000000-0005-0000-0000-00005E1A0000}"/>
    <cellStyle name="Normal 6 8" xfId="6784" xr:uid="{00000000-0005-0000-0000-00005F1A0000}"/>
    <cellStyle name="Normal 6 8 2" xfId="6785" xr:uid="{00000000-0005-0000-0000-0000601A0000}"/>
    <cellStyle name="Normal 6 9" xfId="6786" xr:uid="{00000000-0005-0000-0000-0000611A0000}"/>
    <cellStyle name="Normal 6 9 2" xfId="6787" xr:uid="{00000000-0005-0000-0000-0000621A0000}"/>
    <cellStyle name="Normal 6_2180" xfId="6788" xr:uid="{00000000-0005-0000-0000-0000631A0000}"/>
    <cellStyle name="Normal 60" xfId="6789" xr:uid="{00000000-0005-0000-0000-0000641A0000}"/>
    <cellStyle name="Normal 60 2" xfId="6790" xr:uid="{00000000-0005-0000-0000-0000651A0000}"/>
    <cellStyle name="Normal 60 2 2" xfId="6791" xr:uid="{00000000-0005-0000-0000-0000661A0000}"/>
    <cellStyle name="Normal 60 2 2 2" xfId="6792" xr:uid="{00000000-0005-0000-0000-0000671A0000}"/>
    <cellStyle name="Normal 60 2 2 2 2" xfId="6793" xr:uid="{00000000-0005-0000-0000-0000681A0000}"/>
    <cellStyle name="Normal 60 2 2 2 2 2" xfId="6794" xr:uid="{00000000-0005-0000-0000-0000691A0000}"/>
    <cellStyle name="Normal 60 2 2 2 3" xfId="6795" xr:uid="{00000000-0005-0000-0000-00006A1A0000}"/>
    <cellStyle name="Normal 60 2 2 2 3 2" xfId="6796" xr:uid="{00000000-0005-0000-0000-00006B1A0000}"/>
    <cellStyle name="Normal 60 2 2 2 4" xfId="6797" xr:uid="{00000000-0005-0000-0000-00006C1A0000}"/>
    <cellStyle name="Normal 60 2 2 3" xfId="6798" xr:uid="{00000000-0005-0000-0000-00006D1A0000}"/>
    <cellStyle name="Normal 60 2 2 3 2" xfId="6799" xr:uid="{00000000-0005-0000-0000-00006E1A0000}"/>
    <cellStyle name="Normal 60 2 2 4" xfId="6800" xr:uid="{00000000-0005-0000-0000-00006F1A0000}"/>
    <cellStyle name="Normal 60 2 2 4 2" xfId="6801" xr:uid="{00000000-0005-0000-0000-0000701A0000}"/>
    <cellStyle name="Normal 60 2 2 5" xfId="6802" xr:uid="{00000000-0005-0000-0000-0000711A0000}"/>
    <cellStyle name="Normal 60 2 3" xfId="6803" xr:uid="{00000000-0005-0000-0000-0000721A0000}"/>
    <cellStyle name="Normal 60 2 3 2" xfId="6804" xr:uid="{00000000-0005-0000-0000-0000731A0000}"/>
    <cellStyle name="Normal 60 2 3 2 2" xfId="6805" xr:uid="{00000000-0005-0000-0000-0000741A0000}"/>
    <cellStyle name="Normal 60 2 3 3" xfId="6806" xr:uid="{00000000-0005-0000-0000-0000751A0000}"/>
    <cellStyle name="Normal 60 2 3 3 2" xfId="6807" xr:uid="{00000000-0005-0000-0000-0000761A0000}"/>
    <cellStyle name="Normal 60 2 3 4" xfId="6808" xr:uid="{00000000-0005-0000-0000-0000771A0000}"/>
    <cellStyle name="Normal 60 2 4" xfId="6809" xr:uid="{00000000-0005-0000-0000-0000781A0000}"/>
    <cellStyle name="Normal 60 2 4 2" xfId="6810" xr:uid="{00000000-0005-0000-0000-0000791A0000}"/>
    <cellStyle name="Normal 60 2 5" xfId="6811" xr:uid="{00000000-0005-0000-0000-00007A1A0000}"/>
    <cellStyle name="Normal 60 2 5 2" xfId="6812" xr:uid="{00000000-0005-0000-0000-00007B1A0000}"/>
    <cellStyle name="Normal 60 2 6" xfId="6813" xr:uid="{00000000-0005-0000-0000-00007C1A0000}"/>
    <cellStyle name="Normal 60 3" xfId="6814" xr:uid="{00000000-0005-0000-0000-00007D1A0000}"/>
    <cellStyle name="Normal 60 3 2" xfId="6815" xr:uid="{00000000-0005-0000-0000-00007E1A0000}"/>
    <cellStyle name="Normal 60 3 2 2" xfId="6816" xr:uid="{00000000-0005-0000-0000-00007F1A0000}"/>
    <cellStyle name="Normal 60 3 2 2 2" xfId="6817" xr:uid="{00000000-0005-0000-0000-0000801A0000}"/>
    <cellStyle name="Normal 60 3 2 3" xfId="6818" xr:uid="{00000000-0005-0000-0000-0000811A0000}"/>
    <cellStyle name="Normal 60 3 2 3 2" xfId="6819" xr:uid="{00000000-0005-0000-0000-0000821A0000}"/>
    <cellStyle name="Normal 60 3 2 4" xfId="6820" xr:uid="{00000000-0005-0000-0000-0000831A0000}"/>
    <cellStyle name="Normal 60 3 3" xfId="6821" xr:uid="{00000000-0005-0000-0000-0000841A0000}"/>
    <cellStyle name="Normal 60 3 3 2" xfId="6822" xr:uid="{00000000-0005-0000-0000-0000851A0000}"/>
    <cellStyle name="Normal 60 3 4" xfId="6823" xr:uid="{00000000-0005-0000-0000-0000861A0000}"/>
    <cellStyle name="Normal 60 3 4 2" xfId="6824" xr:uid="{00000000-0005-0000-0000-0000871A0000}"/>
    <cellStyle name="Normal 60 3 5" xfId="6825" xr:uid="{00000000-0005-0000-0000-0000881A0000}"/>
    <cellStyle name="Normal 60 4" xfId="6826" xr:uid="{00000000-0005-0000-0000-0000891A0000}"/>
    <cellStyle name="Normal 60 4 2" xfId="6827" xr:uid="{00000000-0005-0000-0000-00008A1A0000}"/>
    <cellStyle name="Normal 60 4 2 2" xfId="6828" xr:uid="{00000000-0005-0000-0000-00008B1A0000}"/>
    <cellStyle name="Normal 60 4 3" xfId="6829" xr:uid="{00000000-0005-0000-0000-00008C1A0000}"/>
    <cellStyle name="Normal 60 4 3 2" xfId="6830" xr:uid="{00000000-0005-0000-0000-00008D1A0000}"/>
    <cellStyle name="Normal 60 4 4" xfId="6831" xr:uid="{00000000-0005-0000-0000-00008E1A0000}"/>
    <cellStyle name="Normal 60 5" xfId="6832" xr:uid="{00000000-0005-0000-0000-00008F1A0000}"/>
    <cellStyle name="Normal 60 5 2" xfId="6833" xr:uid="{00000000-0005-0000-0000-0000901A0000}"/>
    <cellStyle name="Normal 60 6" xfId="6834" xr:uid="{00000000-0005-0000-0000-0000911A0000}"/>
    <cellStyle name="Normal 60 6 2" xfId="6835" xr:uid="{00000000-0005-0000-0000-0000921A0000}"/>
    <cellStyle name="Normal 60 7" xfId="6836" xr:uid="{00000000-0005-0000-0000-0000931A0000}"/>
    <cellStyle name="Normal 61" xfId="6837" xr:uid="{00000000-0005-0000-0000-0000941A0000}"/>
    <cellStyle name="Normal 61 2" xfId="6838" xr:uid="{00000000-0005-0000-0000-0000951A0000}"/>
    <cellStyle name="Normal 61 2 2" xfId="6839" xr:uid="{00000000-0005-0000-0000-0000961A0000}"/>
    <cellStyle name="Normal 61 2 2 2" xfId="6840" xr:uid="{00000000-0005-0000-0000-0000971A0000}"/>
    <cellStyle name="Normal 61 2 2 2 2" xfId="6841" xr:uid="{00000000-0005-0000-0000-0000981A0000}"/>
    <cellStyle name="Normal 61 2 2 2 2 2" xfId="6842" xr:uid="{00000000-0005-0000-0000-0000991A0000}"/>
    <cellStyle name="Normal 61 2 2 2 3" xfId="6843" xr:uid="{00000000-0005-0000-0000-00009A1A0000}"/>
    <cellStyle name="Normal 61 2 2 2 3 2" xfId="6844" xr:uid="{00000000-0005-0000-0000-00009B1A0000}"/>
    <cellStyle name="Normal 61 2 2 2 4" xfId="6845" xr:uid="{00000000-0005-0000-0000-00009C1A0000}"/>
    <cellStyle name="Normal 61 2 2 3" xfId="6846" xr:uid="{00000000-0005-0000-0000-00009D1A0000}"/>
    <cellStyle name="Normal 61 2 2 3 2" xfId="6847" xr:uid="{00000000-0005-0000-0000-00009E1A0000}"/>
    <cellStyle name="Normal 61 2 2 4" xfId="6848" xr:uid="{00000000-0005-0000-0000-00009F1A0000}"/>
    <cellStyle name="Normal 61 2 2 4 2" xfId="6849" xr:uid="{00000000-0005-0000-0000-0000A01A0000}"/>
    <cellStyle name="Normal 61 2 2 5" xfId="6850" xr:uid="{00000000-0005-0000-0000-0000A11A0000}"/>
    <cellStyle name="Normal 61 2 3" xfId="6851" xr:uid="{00000000-0005-0000-0000-0000A21A0000}"/>
    <cellStyle name="Normal 61 2 3 2" xfId="6852" xr:uid="{00000000-0005-0000-0000-0000A31A0000}"/>
    <cellStyle name="Normal 61 2 3 2 2" xfId="6853" xr:uid="{00000000-0005-0000-0000-0000A41A0000}"/>
    <cellStyle name="Normal 61 2 3 3" xfId="6854" xr:uid="{00000000-0005-0000-0000-0000A51A0000}"/>
    <cellStyle name="Normal 61 2 3 3 2" xfId="6855" xr:uid="{00000000-0005-0000-0000-0000A61A0000}"/>
    <cellStyle name="Normal 61 2 3 4" xfId="6856" xr:uid="{00000000-0005-0000-0000-0000A71A0000}"/>
    <cellStyle name="Normal 61 2 4" xfId="6857" xr:uid="{00000000-0005-0000-0000-0000A81A0000}"/>
    <cellStyle name="Normal 61 2 4 2" xfId="6858" xr:uid="{00000000-0005-0000-0000-0000A91A0000}"/>
    <cellStyle name="Normal 61 2 5" xfId="6859" xr:uid="{00000000-0005-0000-0000-0000AA1A0000}"/>
    <cellStyle name="Normal 61 2 5 2" xfId="6860" xr:uid="{00000000-0005-0000-0000-0000AB1A0000}"/>
    <cellStyle name="Normal 61 2 6" xfId="6861" xr:uid="{00000000-0005-0000-0000-0000AC1A0000}"/>
    <cellStyle name="Normal 61 3" xfId="6862" xr:uid="{00000000-0005-0000-0000-0000AD1A0000}"/>
    <cellStyle name="Normal 61 3 2" xfId="6863" xr:uid="{00000000-0005-0000-0000-0000AE1A0000}"/>
    <cellStyle name="Normal 61 3 2 2" xfId="6864" xr:uid="{00000000-0005-0000-0000-0000AF1A0000}"/>
    <cellStyle name="Normal 61 3 2 2 2" xfId="6865" xr:uid="{00000000-0005-0000-0000-0000B01A0000}"/>
    <cellStyle name="Normal 61 3 2 3" xfId="6866" xr:uid="{00000000-0005-0000-0000-0000B11A0000}"/>
    <cellStyle name="Normal 61 3 2 3 2" xfId="6867" xr:uid="{00000000-0005-0000-0000-0000B21A0000}"/>
    <cellStyle name="Normal 61 3 2 4" xfId="6868" xr:uid="{00000000-0005-0000-0000-0000B31A0000}"/>
    <cellStyle name="Normal 61 3 3" xfId="6869" xr:uid="{00000000-0005-0000-0000-0000B41A0000}"/>
    <cellStyle name="Normal 61 3 3 2" xfId="6870" xr:uid="{00000000-0005-0000-0000-0000B51A0000}"/>
    <cellStyle name="Normal 61 3 4" xfId="6871" xr:uid="{00000000-0005-0000-0000-0000B61A0000}"/>
    <cellStyle name="Normal 61 3 4 2" xfId="6872" xr:uid="{00000000-0005-0000-0000-0000B71A0000}"/>
    <cellStyle name="Normal 61 3 5" xfId="6873" xr:uid="{00000000-0005-0000-0000-0000B81A0000}"/>
    <cellStyle name="Normal 61 4" xfId="6874" xr:uid="{00000000-0005-0000-0000-0000B91A0000}"/>
    <cellStyle name="Normal 61 4 2" xfId="6875" xr:uid="{00000000-0005-0000-0000-0000BA1A0000}"/>
    <cellStyle name="Normal 61 4 2 2" xfId="6876" xr:uid="{00000000-0005-0000-0000-0000BB1A0000}"/>
    <cellStyle name="Normal 61 4 3" xfId="6877" xr:uid="{00000000-0005-0000-0000-0000BC1A0000}"/>
    <cellStyle name="Normal 61 4 3 2" xfId="6878" xr:uid="{00000000-0005-0000-0000-0000BD1A0000}"/>
    <cellStyle name="Normal 61 4 4" xfId="6879" xr:uid="{00000000-0005-0000-0000-0000BE1A0000}"/>
    <cellStyle name="Normal 61 5" xfId="6880" xr:uid="{00000000-0005-0000-0000-0000BF1A0000}"/>
    <cellStyle name="Normal 61 5 2" xfId="6881" xr:uid="{00000000-0005-0000-0000-0000C01A0000}"/>
    <cellStyle name="Normal 61 6" xfId="6882" xr:uid="{00000000-0005-0000-0000-0000C11A0000}"/>
    <cellStyle name="Normal 61 6 2" xfId="6883" xr:uid="{00000000-0005-0000-0000-0000C21A0000}"/>
    <cellStyle name="Normal 61 7" xfId="6884" xr:uid="{00000000-0005-0000-0000-0000C31A0000}"/>
    <cellStyle name="Normal 62" xfId="6885" xr:uid="{00000000-0005-0000-0000-0000C41A0000}"/>
    <cellStyle name="Normal 62 2" xfId="6886" xr:uid="{00000000-0005-0000-0000-0000C51A0000}"/>
    <cellStyle name="Normal 62 2 2" xfId="6887" xr:uid="{00000000-0005-0000-0000-0000C61A0000}"/>
    <cellStyle name="Normal 62 2 2 2" xfId="6888" xr:uid="{00000000-0005-0000-0000-0000C71A0000}"/>
    <cellStyle name="Normal 62 2 2 2 2" xfId="6889" xr:uid="{00000000-0005-0000-0000-0000C81A0000}"/>
    <cellStyle name="Normal 62 2 2 2 2 2" xfId="6890" xr:uid="{00000000-0005-0000-0000-0000C91A0000}"/>
    <cellStyle name="Normal 62 2 2 2 3" xfId="6891" xr:uid="{00000000-0005-0000-0000-0000CA1A0000}"/>
    <cellStyle name="Normal 62 2 2 2 3 2" xfId="6892" xr:uid="{00000000-0005-0000-0000-0000CB1A0000}"/>
    <cellStyle name="Normal 62 2 2 2 4" xfId="6893" xr:uid="{00000000-0005-0000-0000-0000CC1A0000}"/>
    <cellStyle name="Normal 62 2 2 3" xfId="6894" xr:uid="{00000000-0005-0000-0000-0000CD1A0000}"/>
    <cellStyle name="Normal 62 2 2 3 2" xfId="6895" xr:uid="{00000000-0005-0000-0000-0000CE1A0000}"/>
    <cellStyle name="Normal 62 2 2 4" xfId="6896" xr:uid="{00000000-0005-0000-0000-0000CF1A0000}"/>
    <cellStyle name="Normal 62 2 2 4 2" xfId="6897" xr:uid="{00000000-0005-0000-0000-0000D01A0000}"/>
    <cellStyle name="Normal 62 2 2 5" xfId="6898" xr:uid="{00000000-0005-0000-0000-0000D11A0000}"/>
    <cellStyle name="Normal 62 2 3" xfId="6899" xr:uid="{00000000-0005-0000-0000-0000D21A0000}"/>
    <cellStyle name="Normal 62 2 3 2" xfId="6900" xr:uid="{00000000-0005-0000-0000-0000D31A0000}"/>
    <cellStyle name="Normal 62 2 3 2 2" xfId="6901" xr:uid="{00000000-0005-0000-0000-0000D41A0000}"/>
    <cellStyle name="Normal 62 2 3 3" xfId="6902" xr:uid="{00000000-0005-0000-0000-0000D51A0000}"/>
    <cellStyle name="Normal 62 2 3 3 2" xfId="6903" xr:uid="{00000000-0005-0000-0000-0000D61A0000}"/>
    <cellStyle name="Normal 62 2 3 4" xfId="6904" xr:uid="{00000000-0005-0000-0000-0000D71A0000}"/>
    <cellStyle name="Normal 62 2 4" xfId="6905" xr:uid="{00000000-0005-0000-0000-0000D81A0000}"/>
    <cellStyle name="Normal 62 2 4 2" xfId="6906" xr:uid="{00000000-0005-0000-0000-0000D91A0000}"/>
    <cellStyle name="Normal 62 2 5" xfId="6907" xr:uid="{00000000-0005-0000-0000-0000DA1A0000}"/>
    <cellStyle name="Normal 62 2 5 2" xfId="6908" xr:uid="{00000000-0005-0000-0000-0000DB1A0000}"/>
    <cellStyle name="Normal 62 2 6" xfId="6909" xr:uid="{00000000-0005-0000-0000-0000DC1A0000}"/>
    <cellStyle name="Normal 62 3" xfId="6910" xr:uid="{00000000-0005-0000-0000-0000DD1A0000}"/>
    <cellStyle name="Normal 62 3 2" xfId="6911" xr:uid="{00000000-0005-0000-0000-0000DE1A0000}"/>
    <cellStyle name="Normal 62 3 2 2" xfId="6912" xr:uid="{00000000-0005-0000-0000-0000DF1A0000}"/>
    <cellStyle name="Normal 62 3 2 2 2" xfId="6913" xr:uid="{00000000-0005-0000-0000-0000E01A0000}"/>
    <cellStyle name="Normal 62 3 2 3" xfId="6914" xr:uid="{00000000-0005-0000-0000-0000E11A0000}"/>
    <cellStyle name="Normal 62 3 2 3 2" xfId="6915" xr:uid="{00000000-0005-0000-0000-0000E21A0000}"/>
    <cellStyle name="Normal 62 3 2 4" xfId="6916" xr:uid="{00000000-0005-0000-0000-0000E31A0000}"/>
    <cellStyle name="Normal 62 3 3" xfId="6917" xr:uid="{00000000-0005-0000-0000-0000E41A0000}"/>
    <cellStyle name="Normal 62 3 3 2" xfId="6918" xr:uid="{00000000-0005-0000-0000-0000E51A0000}"/>
    <cellStyle name="Normal 62 3 4" xfId="6919" xr:uid="{00000000-0005-0000-0000-0000E61A0000}"/>
    <cellStyle name="Normal 62 3 4 2" xfId="6920" xr:uid="{00000000-0005-0000-0000-0000E71A0000}"/>
    <cellStyle name="Normal 62 3 5" xfId="6921" xr:uid="{00000000-0005-0000-0000-0000E81A0000}"/>
    <cellStyle name="Normal 62 4" xfId="6922" xr:uid="{00000000-0005-0000-0000-0000E91A0000}"/>
    <cellStyle name="Normal 62 4 2" xfId="6923" xr:uid="{00000000-0005-0000-0000-0000EA1A0000}"/>
    <cellStyle name="Normal 62 4 2 2" xfId="6924" xr:uid="{00000000-0005-0000-0000-0000EB1A0000}"/>
    <cellStyle name="Normal 62 4 3" xfId="6925" xr:uid="{00000000-0005-0000-0000-0000EC1A0000}"/>
    <cellStyle name="Normal 62 4 3 2" xfId="6926" xr:uid="{00000000-0005-0000-0000-0000ED1A0000}"/>
    <cellStyle name="Normal 62 4 4" xfId="6927" xr:uid="{00000000-0005-0000-0000-0000EE1A0000}"/>
    <cellStyle name="Normal 62 5" xfId="6928" xr:uid="{00000000-0005-0000-0000-0000EF1A0000}"/>
    <cellStyle name="Normal 62 5 2" xfId="6929" xr:uid="{00000000-0005-0000-0000-0000F01A0000}"/>
    <cellStyle name="Normal 62 6" xfId="6930" xr:uid="{00000000-0005-0000-0000-0000F11A0000}"/>
    <cellStyle name="Normal 62 6 2" xfId="6931" xr:uid="{00000000-0005-0000-0000-0000F21A0000}"/>
    <cellStyle name="Normal 62 7" xfId="6932" xr:uid="{00000000-0005-0000-0000-0000F31A0000}"/>
    <cellStyle name="Normal 63" xfId="6933" xr:uid="{00000000-0005-0000-0000-0000F41A0000}"/>
    <cellStyle name="Normal 63 2" xfId="6934" xr:uid="{00000000-0005-0000-0000-0000F51A0000}"/>
    <cellStyle name="Normal 63 2 2" xfId="6935" xr:uid="{00000000-0005-0000-0000-0000F61A0000}"/>
    <cellStyle name="Normal 63 2 2 2" xfId="6936" xr:uid="{00000000-0005-0000-0000-0000F71A0000}"/>
    <cellStyle name="Normal 63 2 2 2 2" xfId="6937" xr:uid="{00000000-0005-0000-0000-0000F81A0000}"/>
    <cellStyle name="Normal 63 2 2 2 2 2" xfId="6938" xr:uid="{00000000-0005-0000-0000-0000F91A0000}"/>
    <cellStyle name="Normal 63 2 2 2 3" xfId="6939" xr:uid="{00000000-0005-0000-0000-0000FA1A0000}"/>
    <cellStyle name="Normal 63 2 2 2 3 2" xfId="6940" xr:uid="{00000000-0005-0000-0000-0000FB1A0000}"/>
    <cellStyle name="Normal 63 2 2 2 4" xfId="6941" xr:uid="{00000000-0005-0000-0000-0000FC1A0000}"/>
    <cellStyle name="Normal 63 2 2 3" xfId="6942" xr:uid="{00000000-0005-0000-0000-0000FD1A0000}"/>
    <cellStyle name="Normal 63 2 2 3 2" xfId="6943" xr:uid="{00000000-0005-0000-0000-0000FE1A0000}"/>
    <cellStyle name="Normal 63 2 2 4" xfId="6944" xr:uid="{00000000-0005-0000-0000-0000FF1A0000}"/>
    <cellStyle name="Normal 63 2 2 4 2" xfId="6945" xr:uid="{00000000-0005-0000-0000-0000001B0000}"/>
    <cellStyle name="Normal 63 2 2 5" xfId="6946" xr:uid="{00000000-0005-0000-0000-0000011B0000}"/>
    <cellStyle name="Normal 63 2 3" xfId="6947" xr:uid="{00000000-0005-0000-0000-0000021B0000}"/>
    <cellStyle name="Normal 63 2 3 2" xfId="6948" xr:uid="{00000000-0005-0000-0000-0000031B0000}"/>
    <cellStyle name="Normal 63 2 3 2 2" xfId="6949" xr:uid="{00000000-0005-0000-0000-0000041B0000}"/>
    <cellStyle name="Normal 63 2 3 3" xfId="6950" xr:uid="{00000000-0005-0000-0000-0000051B0000}"/>
    <cellStyle name="Normal 63 2 3 3 2" xfId="6951" xr:uid="{00000000-0005-0000-0000-0000061B0000}"/>
    <cellStyle name="Normal 63 2 3 4" xfId="6952" xr:uid="{00000000-0005-0000-0000-0000071B0000}"/>
    <cellStyle name="Normal 63 2 4" xfId="6953" xr:uid="{00000000-0005-0000-0000-0000081B0000}"/>
    <cellStyle name="Normal 63 2 4 2" xfId="6954" xr:uid="{00000000-0005-0000-0000-0000091B0000}"/>
    <cellStyle name="Normal 63 2 5" xfId="6955" xr:uid="{00000000-0005-0000-0000-00000A1B0000}"/>
    <cellStyle name="Normal 63 2 5 2" xfId="6956" xr:uid="{00000000-0005-0000-0000-00000B1B0000}"/>
    <cellStyle name="Normal 63 2 6" xfId="6957" xr:uid="{00000000-0005-0000-0000-00000C1B0000}"/>
    <cellStyle name="Normal 63 3" xfId="6958" xr:uid="{00000000-0005-0000-0000-00000D1B0000}"/>
    <cellStyle name="Normal 63 3 2" xfId="6959" xr:uid="{00000000-0005-0000-0000-00000E1B0000}"/>
    <cellStyle name="Normal 63 3 2 2" xfId="6960" xr:uid="{00000000-0005-0000-0000-00000F1B0000}"/>
    <cellStyle name="Normal 63 3 2 2 2" xfId="6961" xr:uid="{00000000-0005-0000-0000-0000101B0000}"/>
    <cellStyle name="Normal 63 3 2 3" xfId="6962" xr:uid="{00000000-0005-0000-0000-0000111B0000}"/>
    <cellStyle name="Normal 63 3 2 3 2" xfId="6963" xr:uid="{00000000-0005-0000-0000-0000121B0000}"/>
    <cellStyle name="Normal 63 3 2 4" xfId="6964" xr:uid="{00000000-0005-0000-0000-0000131B0000}"/>
    <cellStyle name="Normal 63 3 3" xfId="6965" xr:uid="{00000000-0005-0000-0000-0000141B0000}"/>
    <cellStyle name="Normal 63 3 3 2" xfId="6966" xr:uid="{00000000-0005-0000-0000-0000151B0000}"/>
    <cellStyle name="Normal 63 3 4" xfId="6967" xr:uid="{00000000-0005-0000-0000-0000161B0000}"/>
    <cellStyle name="Normal 63 3 4 2" xfId="6968" xr:uid="{00000000-0005-0000-0000-0000171B0000}"/>
    <cellStyle name="Normal 63 3 5" xfId="6969" xr:uid="{00000000-0005-0000-0000-0000181B0000}"/>
    <cellStyle name="Normal 63 4" xfId="6970" xr:uid="{00000000-0005-0000-0000-0000191B0000}"/>
    <cellStyle name="Normal 63 4 2" xfId="6971" xr:uid="{00000000-0005-0000-0000-00001A1B0000}"/>
    <cellStyle name="Normal 63 4 2 2" xfId="6972" xr:uid="{00000000-0005-0000-0000-00001B1B0000}"/>
    <cellStyle name="Normal 63 4 3" xfId="6973" xr:uid="{00000000-0005-0000-0000-00001C1B0000}"/>
    <cellStyle name="Normal 63 4 3 2" xfId="6974" xr:uid="{00000000-0005-0000-0000-00001D1B0000}"/>
    <cellStyle name="Normal 63 4 4" xfId="6975" xr:uid="{00000000-0005-0000-0000-00001E1B0000}"/>
    <cellStyle name="Normal 63 5" xfId="6976" xr:uid="{00000000-0005-0000-0000-00001F1B0000}"/>
    <cellStyle name="Normal 63 5 2" xfId="6977" xr:uid="{00000000-0005-0000-0000-0000201B0000}"/>
    <cellStyle name="Normal 63 6" xfId="6978" xr:uid="{00000000-0005-0000-0000-0000211B0000}"/>
    <cellStyle name="Normal 63 6 2" xfId="6979" xr:uid="{00000000-0005-0000-0000-0000221B0000}"/>
    <cellStyle name="Normal 63 7" xfId="6980" xr:uid="{00000000-0005-0000-0000-0000231B0000}"/>
    <cellStyle name="Normal 64" xfId="6981" xr:uid="{00000000-0005-0000-0000-0000241B0000}"/>
    <cellStyle name="Normal 64 2" xfId="6982" xr:uid="{00000000-0005-0000-0000-0000251B0000}"/>
    <cellStyle name="Normal 64 3" xfId="6983" xr:uid="{00000000-0005-0000-0000-0000261B0000}"/>
    <cellStyle name="Normal 65" xfId="6984" xr:uid="{00000000-0005-0000-0000-0000271B0000}"/>
    <cellStyle name="Normal 65 2" xfId="6985" xr:uid="{00000000-0005-0000-0000-0000281B0000}"/>
    <cellStyle name="Normal 65 2 2" xfId="6986" xr:uid="{00000000-0005-0000-0000-0000291B0000}"/>
    <cellStyle name="Normal 65 2 2 2" xfId="6987" xr:uid="{00000000-0005-0000-0000-00002A1B0000}"/>
    <cellStyle name="Normal 65 2 2 2 2" xfId="6988" xr:uid="{00000000-0005-0000-0000-00002B1B0000}"/>
    <cellStyle name="Normal 65 2 2 2 2 2" xfId="6989" xr:uid="{00000000-0005-0000-0000-00002C1B0000}"/>
    <cellStyle name="Normal 65 2 2 2 3" xfId="6990" xr:uid="{00000000-0005-0000-0000-00002D1B0000}"/>
    <cellStyle name="Normal 65 2 2 2 3 2" xfId="6991" xr:uid="{00000000-0005-0000-0000-00002E1B0000}"/>
    <cellStyle name="Normal 65 2 2 2 4" xfId="6992" xr:uid="{00000000-0005-0000-0000-00002F1B0000}"/>
    <cellStyle name="Normal 65 2 2 3" xfId="6993" xr:uid="{00000000-0005-0000-0000-0000301B0000}"/>
    <cellStyle name="Normal 65 2 2 3 2" xfId="6994" xr:uid="{00000000-0005-0000-0000-0000311B0000}"/>
    <cellStyle name="Normal 65 2 2 4" xfId="6995" xr:uid="{00000000-0005-0000-0000-0000321B0000}"/>
    <cellStyle name="Normal 65 2 2 4 2" xfId="6996" xr:uid="{00000000-0005-0000-0000-0000331B0000}"/>
    <cellStyle name="Normal 65 2 2 5" xfId="6997" xr:uid="{00000000-0005-0000-0000-0000341B0000}"/>
    <cellStyle name="Normal 65 2 3" xfId="6998" xr:uid="{00000000-0005-0000-0000-0000351B0000}"/>
    <cellStyle name="Normal 65 2 3 2" xfId="6999" xr:uid="{00000000-0005-0000-0000-0000361B0000}"/>
    <cellStyle name="Normal 65 2 3 2 2" xfId="7000" xr:uid="{00000000-0005-0000-0000-0000371B0000}"/>
    <cellStyle name="Normal 65 2 3 3" xfId="7001" xr:uid="{00000000-0005-0000-0000-0000381B0000}"/>
    <cellStyle name="Normal 65 2 3 3 2" xfId="7002" xr:uid="{00000000-0005-0000-0000-0000391B0000}"/>
    <cellStyle name="Normal 65 2 3 4" xfId="7003" xr:uid="{00000000-0005-0000-0000-00003A1B0000}"/>
    <cellStyle name="Normal 65 2 4" xfId="7004" xr:uid="{00000000-0005-0000-0000-00003B1B0000}"/>
    <cellStyle name="Normal 65 2 4 2" xfId="7005" xr:uid="{00000000-0005-0000-0000-00003C1B0000}"/>
    <cellStyle name="Normal 65 2 5" xfId="7006" xr:uid="{00000000-0005-0000-0000-00003D1B0000}"/>
    <cellStyle name="Normal 65 2 5 2" xfId="7007" xr:uid="{00000000-0005-0000-0000-00003E1B0000}"/>
    <cellStyle name="Normal 65 2 6" xfId="7008" xr:uid="{00000000-0005-0000-0000-00003F1B0000}"/>
    <cellStyle name="Normal 65 3" xfId="7009" xr:uid="{00000000-0005-0000-0000-0000401B0000}"/>
    <cellStyle name="Normal 65 3 2" xfId="7010" xr:uid="{00000000-0005-0000-0000-0000411B0000}"/>
    <cellStyle name="Normal 65 3 2 2" xfId="7011" xr:uid="{00000000-0005-0000-0000-0000421B0000}"/>
    <cellStyle name="Normal 65 3 2 2 2" xfId="7012" xr:uid="{00000000-0005-0000-0000-0000431B0000}"/>
    <cellStyle name="Normal 65 3 2 3" xfId="7013" xr:uid="{00000000-0005-0000-0000-0000441B0000}"/>
    <cellStyle name="Normal 65 3 2 3 2" xfId="7014" xr:uid="{00000000-0005-0000-0000-0000451B0000}"/>
    <cellStyle name="Normal 65 3 2 4" xfId="7015" xr:uid="{00000000-0005-0000-0000-0000461B0000}"/>
    <cellStyle name="Normal 65 3 3" xfId="7016" xr:uid="{00000000-0005-0000-0000-0000471B0000}"/>
    <cellStyle name="Normal 65 3 3 2" xfId="7017" xr:uid="{00000000-0005-0000-0000-0000481B0000}"/>
    <cellStyle name="Normal 65 3 4" xfId="7018" xr:uid="{00000000-0005-0000-0000-0000491B0000}"/>
    <cellStyle name="Normal 65 3 4 2" xfId="7019" xr:uid="{00000000-0005-0000-0000-00004A1B0000}"/>
    <cellStyle name="Normal 65 3 5" xfId="7020" xr:uid="{00000000-0005-0000-0000-00004B1B0000}"/>
    <cellStyle name="Normal 65 4" xfId="7021" xr:uid="{00000000-0005-0000-0000-00004C1B0000}"/>
    <cellStyle name="Normal 65 4 2" xfId="7022" xr:uid="{00000000-0005-0000-0000-00004D1B0000}"/>
    <cellStyle name="Normal 65 4 2 2" xfId="7023" xr:uid="{00000000-0005-0000-0000-00004E1B0000}"/>
    <cellStyle name="Normal 65 4 3" xfId="7024" xr:uid="{00000000-0005-0000-0000-00004F1B0000}"/>
    <cellStyle name="Normal 65 4 3 2" xfId="7025" xr:uid="{00000000-0005-0000-0000-0000501B0000}"/>
    <cellStyle name="Normal 65 4 4" xfId="7026" xr:uid="{00000000-0005-0000-0000-0000511B0000}"/>
    <cellStyle name="Normal 65 5" xfId="7027" xr:uid="{00000000-0005-0000-0000-0000521B0000}"/>
    <cellStyle name="Normal 65 5 2" xfId="7028" xr:uid="{00000000-0005-0000-0000-0000531B0000}"/>
    <cellStyle name="Normal 65 6" xfId="7029" xr:uid="{00000000-0005-0000-0000-0000541B0000}"/>
    <cellStyle name="Normal 65 6 2" xfId="7030" xr:uid="{00000000-0005-0000-0000-0000551B0000}"/>
    <cellStyle name="Normal 65 7" xfId="7031" xr:uid="{00000000-0005-0000-0000-0000561B0000}"/>
    <cellStyle name="Normal 66" xfId="7032" xr:uid="{00000000-0005-0000-0000-0000571B0000}"/>
    <cellStyle name="Normal 66 2" xfId="7033" xr:uid="{00000000-0005-0000-0000-0000581B0000}"/>
    <cellStyle name="Normal 66 3" xfId="7034" xr:uid="{00000000-0005-0000-0000-0000591B0000}"/>
    <cellStyle name="Normal 67" xfId="7035" xr:uid="{00000000-0005-0000-0000-00005A1B0000}"/>
    <cellStyle name="Normal 67 2" xfId="7036" xr:uid="{00000000-0005-0000-0000-00005B1B0000}"/>
    <cellStyle name="Normal 67 3" xfId="7037" xr:uid="{00000000-0005-0000-0000-00005C1B0000}"/>
    <cellStyle name="Normal 67 4" xfId="9021" xr:uid="{C663F128-645A-4722-B869-83526B2C9BDD}"/>
    <cellStyle name="Normal 68" xfId="7038" xr:uid="{00000000-0005-0000-0000-00005D1B0000}"/>
    <cellStyle name="Normal 68 2" xfId="7039" xr:uid="{00000000-0005-0000-0000-00005E1B0000}"/>
    <cellStyle name="Normal 68 3" xfId="7040" xr:uid="{00000000-0005-0000-0000-00005F1B0000}"/>
    <cellStyle name="Normal 69" xfId="7041" xr:uid="{00000000-0005-0000-0000-0000601B0000}"/>
    <cellStyle name="Normal 69 2" xfId="7042" xr:uid="{00000000-0005-0000-0000-0000611B0000}"/>
    <cellStyle name="Normal 69 3" xfId="7043" xr:uid="{00000000-0005-0000-0000-0000621B0000}"/>
    <cellStyle name="Normal 7" xfId="103" xr:uid="{00000000-0005-0000-0000-0000631B0000}"/>
    <cellStyle name="Normal 7 10" xfId="7045" xr:uid="{00000000-0005-0000-0000-0000641B0000}"/>
    <cellStyle name="Normal 7 10 2" xfId="7046" xr:uid="{00000000-0005-0000-0000-0000651B0000}"/>
    <cellStyle name="Normal 7 11" xfId="7047" xr:uid="{00000000-0005-0000-0000-0000661B0000}"/>
    <cellStyle name="Normal 7 12" xfId="7044" xr:uid="{00000000-0005-0000-0000-0000671B0000}"/>
    <cellStyle name="Normal 7 2" xfId="236" xr:uid="{00000000-0005-0000-0000-0000681B0000}"/>
    <cellStyle name="Normal 7 2 10" xfId="7049" xr:uid="{00000000-0005-0000-0000-0000691B0000}"/>
    <cellStyle name="Normal 7 2 11" xfId="7048" xr:uid="{00000000-0005-0000-0000-00006A1B0000}"/>
    <cellStyle name="Normal 7 2 2" xfId="7050" xr:uid="{00000000-0005-0000-0000-00006B1B0000}"/>
    <cellStyle name="Normal 7 2 2 2" xfId="7051" xr:uid="{00000000-0005-0000-0000-00006C1B0000}"/>
    <cellStyle name="Normal 7 2 2 2 2" xfId="7052" xr:uid="{00000000-0005-0000-0000-00006D1B0000}"/>
    <cellStyle name="Normal 7 2 2 2 2 2" xfId="7053" xr:uid="{00000000-0005-0000-0000-00006E1B0000}"/>
    <cellStyle name="Normal 7 2 2 2 2 2 2" xfId="7054" xr:uid="{00000000-0005-0000-0000-00006F1B0000}"/>
    <cellStyle name="Normal 7 2 2 2 2 2 2 2" xfId="7055" xr:uid="{00000000-0005-0000-0000-0000701B0000}"/>
    <cellStyle name="Normal 7 2 2 2 2 2 2 2 2" xfId="7056" xr:uid="{00000000-0005-0000-0000-0000711B0000}"/>
    <cellStyle name="Normal 7 2 2 2 2 2 2 3" xfId="7057" xr:uid="{00000000-0005-0000-0000-0000721B0000}"/>
    <cellStyle name="Normal 7 2 2 2 2 2 2 3 2" xfId="7058" xr:uid="{00000000-0005-0000-0000-0000731B0000}"/>
    <cellStyle name="Normal 7 2 2 2 2 2 2 4" xfId="7059" xr:uid="{00000000-0005-0000-0000-0000741B0000}"/>
    <cellStyle name="Normal 7 2 2 2 2 2 3" xfId="7060" xr:uid="{00000000-0005-0000-0000-0000751B0000}"/>
    <cellStyle name="Normal 7 2 2 2 2 2 3 2" xfId="7061" xr:uid="{00000000-0005-0000-0000-0000761B0000}"/>
    <cellStyle name="Normal 7 2 2 2 2 2 4" xfId="7062" xr:uid="{00000000-0005-0000-0000-0000771B0000}"/>
    <cellStyle name="Normal 7 2 2 2 2 2 4 2" xfId="7063" xr:uid="{00000000-0005-0000-0000-0000781B0000}"/>
    <cellStyle name="Normal 7 2 2 2 2 2 5" xfId="7064" xr:uid="{00000000-0005-0000-0000-0000791B0000}"/>
    <cellStyle name="Normal 7 2 2 2 2 3" xfId="7065" xr:uid="{00000000-0005-0000-0000-00007A1B0000}"/>
    <cellStyle name="Normal 7 2 2 2 2 3 2" xfId="7066" xr:uid="{00000000-0005-0000-0000-00007B1B0000}"/>
    <cellStyle name="Normal 7 2 2 2 2 3 2 2" xfId="7067" xr:uid="{00000000-0005-0000-0000-00007C1B0000}"/>
    <cellStyle name="Normal 7 2 2 2 2 3 3" xfId="7068" xr:uid="{00000000-0005-0000-0000-00007D1B0000}"/>
    <cellStyle name="Normal 7 2 2 2 2 3 3 2" xfId="7069" xr:uid="{00000000-0005-0000-0000-00007E1B0000}"/>
    <cellStyle name="Normal 7 2 2 2 2 3 4" xfId="7070" xr:uid="{00000000-0005-0000-0000-00007F1B0000}"/>
    <cellStyle name="Normal 7 2 2 2 2 4" xfId="7071" xr:uid="{00000000-0005-0000-0000-0000801B0000}"/>
    <cellStyle name="Normal 7 2 2 2 2 4 2" xfId="7072" xr:uid="{00000000-0005-0000-0000-0000811B0000}"/>
    <cellStyle name="Normal 7 2 2 2 2 5" xfId="7073" xr:uid="{00000000-0005-0000-0000-0000821B0000}"/>
    <cellStyle name="Normal 7 2 2 2 2 5 2" xfId="7074" xr:uid="{00000000-0005-0000-0000-0000831B0000}"/>
    <cellStyle name="Normal 7 2 2 2 2 6" xfId="7075" xr:uid="{00000000-0005-0000-0000-0000841B0000}"/>
    <cellStyle name="Normal 7 2 2 2 3" xfId="7076" xr:uid="{00000000-0005-0000-0000-0000851B0000}"/>
    <cellStyle name="Normal 7 2 2 2 3 2" xfId="7077" xr:uid="{00000000-0005-0000-0000-0000861B0000}"/>
    <cellStyle name="Normal 7 2 2 2 3 2 2" xfId="7078" xr:uid="{00000000-0005-0000-0000-0000871B0000}"/>
    <cellStyle name="Normal 7 2 2 2 3 2 2 2" xfId="7079" xr:uid="{00000000-0005-0000-0000-0000881B0000}"/>
    <cellStyle name="Normal 7 2 2 2 3 2 3" xfId="7080" xr:uid="{00000000-0005-0000-0000-0000891B0000}"/>
    <cellStyle name="Normal 7 2 2 2 3 2 3 2" xfId="7081" xr:uid="{00000000-0005-0000-0000-00008A1B0000}"/>
    <cellStyle name="Normal 7 2 2 2 3 2 4" xfId="7082" xr:uid="{00000000-0005-0000-0000-00008B1B0000}"/>
    <cellStyle name="Normal 7 2 2 2 3 3" xfId="7083" xr:uid="{00000000-0005-0000-0000-00008C1B0000}"/>
    <cellStyle name="Normal 7 2 2 2 3 3 2" xfId="7084" xr:uid="{00000000-0005-0000-0000-00008D1B0000}"/>
    <cellStyle name="Normal 7 2 2 2 3 4" xfId="7085" xr:uid="{00000000-0005-0000-0000-00008E1B0000}"/>
    <cellStyle name="Normal 7 2 2 2 3 4 2" xfId="7086" xr:uid="{00000000-0005-0000-0000-00008F1B0000}"/>
    <cellStyle name="Normal 7 2 2 2 3 5" xfId="7087" xr:uid="{00000000-0005-0000-0000-0000901B0000}"/>
    <cellStyle name="Normal 7 2 2 2 4" xfId="7088" xr:uid="{00000000-0005-0000-0000-0000911B0000}"/>
    <cellStyle name="Normal 7 2 2 2 4 2" xfId="7089" xr:uid="{00000000-0005-0000-0000-0000921B0000}"/>
    <cellStyle name="Normal 7 2 2 2 4 2 2" xfId="7090" xr:uid="{00000000-0005-0000-0000-0000931B0000}"/>
    <cellStyle name="Normal 7 2 2 2 4 3" xfId="7091" xr:uid="{00000000-0005-0000-0000-0000941B0000}"/>
    <cellStyle name="Normal 7 2 2 2 4 3 2" xfId="7092" xr:uid="{00000000-0005-0000-0000-0000951B0000}"/>
    <cellStyle name="Normal 7 2 2 2 4 4" xfId="7093" xr:uid="{00000000-0005-0000-0000-0000961B0000}"/>
    <cellStyle name="Normal 7 2 2 2 5" xfId="7094" xr:uid="{00000000-0005-0000-0000-0000971B0000}"/>
    <cellStyle name="Normal 7 2 2 2 5 2" xfId="7095" xr:uid="{00000000-0005-0000-0000-0000981B0000}"/>
    <cellStyle name="Normal 7 2 2 2 6" xfId="7096" xr:uid="{00000000-0005-0000-0000-0000991B0000}"/>
    <cellStyle name="Normal 7 2 2 2 6 2" xfId="7097" xr:uid="{00000000-0005-0000-0000-00009A1B0000}"/>
    <cellStyle name="Normal 7 2 2 2 7" xfId="7098" xr:uid="{00000000-0005-0000-0000-00009B1B0000}"/>
    <cellStyle name="Normal 7 2 2 3" xfId="7099" xr:uid="{00000000-0005-0000-0000-00009C1B0000}"/>
    <cellStyle name="Normal 7 2 2 3 2" xfId="7100" xr:uid="{00000000-0005-0000-0000-00009D1B0000}"/>
    <cellStyle name="Normal 7 2 2 3 2 2" xfId="7101" xr:uid="{00000000-0005-0000-0000-00009E1B0000}"/>
    <cellStyle name="Normal 7 2 2 3 2 2 2" xfId="7102" xr:uid="{00000000-0005-0000-0000-00009F1B0000}"/>
    <cellStyle name="Normal 7 2 2 3 2 2 2 2" xfId="7103" xr:uid="{00000000-0005-0000-0000-0000A01B0000}"/>
    <cellStyle name="Normal 7 2 2 3 2 2 3" xfId="7104" xr:uid="{00000000-0005-0000-0000-0000A11B0000}"/>
    <cellStyle name="Normal 7 2 2 3 2 2 3 2" xfId="7105" xr:uid="{00000000-0005-0000-0000-0000A21B0000}"/>
    <cellStyle name="Normal 7 2 2 3 2 2 4" xfId="7106" xr:uid="{00000000-0005-0000-0000-0000A31B0000}"/>
    <cellStyle name="Normal 7 2 2 3 2 3" xfId="7107" xr:uid="{00000000-0005-0000-0000-0000A41B0000}"/>
    <cellStyle name="Normal 7 2 2 3 2 3 2" xfId="7108" xr:uid="{00000000-0005-0000-0000-0000A51B0000}"/>
    <cellStyle name="Normal 7 2 2 3 2 4" xfId="7109" xr:uid="{00000000-0005-0000-0000-0000A61B0000}"/>
    <cellStyle name="Normal 7 2 2 3 2 4 2" xfId="7110" xr:uid="{00000000-0005-0000-0000-0000A71B0000}"/>
    <cellStyle name="Normal 7 2 2 3 2 5" xfId="7111" xr:uid="{00000000-0005-0000-0000-0000A81B0000}"/>
    <cellStyle name="Normal 7 2 2 3 3" xfId="7112" xr:uid="{00000000-0005-0000-0000-0000A91B0000}"/>
    <cellStyle name="Normal 7 2 2 3 3 2" xfId="7113" xr:uid="{00000000-0005-0000-0000-0000AA1B0000}"/>
    <cellStyle name="Normal 7 2 2 3 3 2 2" xfId="7114" xr:uid="{00000000-0005-0000-0000-0000AB1B0000}"/>
    <cellStyle name="Normal 7 2 2 3 3 3" xfId="7115" xr:uid="{00000000-0005-0000-0000-0000AC1B0000}"/>
    <cellStyle name="Normal 7 2 2 3 3 3 2" xfId="7116" xr:uid="{00000000-0005-0000-0000-0000AD1B0000}"/>
    <cellStyle name="Normal 7 2 2 3 3 4" xfId="7117" xr:uid="{00000000-0005-0000-0000-0000AE1B0000}"/>
    <cellStyle name="Normal 7 2 2 3 4" xfId="7118" xr:uid="{00000000-0005-0000-0000-0000AF1B0000}"/>
    <cellStyle name="Normal 7 2 2 3 4 2" xfId="7119" xr:uid="{00000000-0005-0000-0000-0000B01B0000}"/>
    <cellStyle name="Normal 7 2 2 3 5" xfId="7120" xr:uid="{00000000-0005-0000-0000-0000B11B0000}"/>
    <cellStyle name="Normal 7 2 2 3 5 2" xfId="7121" xr:uid="{00000000-0005-0000-0000-0000B21B0000}"/>
    <cellStyle name="Normal 7 2 2 3 6" xfId="7122" xr:uid="{00000000-0005-0000-0000-0000B31B0000}"/>
    <cellStyle name="Normal 7 2 2 4" xfId="7123" xr:uid="{00000000-0005-0000-0000-0000B41B0000}"/>
    <cellStyle name="Normal 7 2 2 4 2" xfId="7124" xr:uid="{00000000-0005-0000-0000-0000B51B0000}"/>
    <cellStyle name="Normal 7 2 2 4 2 2" xfId="7125" xr:uid="{00000000-0005-0000-0000-0000B61B0000}"/>
    <cellStyle name="Normal 7 2 2 4 2 2 2" xfId="7126" xr:uid="{00000000-0005-0000-0000-0000B71B0000}"/>
    <cellStyle name="Normal 7 2 2 4 2 3" xfId="7127" xr:uid="{00000000-0005-0000-0000-0000B81B0000}"/>
    <cellStyle name="Normal 7 2 2 4 2 3 2" xfId="7128" xr:uid="{00000000-0005-0000-0000-0000B91B0000}"/>
    <cellStyle name="Normal 7 2 2 4 2 4" xfId="7129" xr:uid="{00000000-0005-0000-0000-0000BA1B0000}"/>
    <cellStyle name="Normal 7 2 2 4 3" xfId="7130" xr:uid="{00000000-0005-0000-0000-0000BB1B0000}"/>
    <cellStyle name="Normal 7 2 2 4 3 2" xfId="7131" xr:uid="{00000000-0005-0000-0000-0000BC1B0000}"/>
    <cellStyle name="Normal 7 2 2 4 4" xfId="7132" xr:uid="{00000000-0005-0000-0000-0000BD1B0000}"/>
    <cellStyle name="Normal 7 2 2 4 4 2" xfId="7133" xr:uid="{00000000-0005-0000-0000-0000BE1B0000}"/>
    <cellStyle name="Normal 7 2 2 4 5" xfId="7134" xr:uid="{00000000-0005-0000-0000-0000BF1B0000}"/>
    <cellStyle name="Normal 7 2 2 5" xfId="7135" xr:uid="{00000000-0005-0000-0000-0000C01B0000}"/>
    <cellStyle name="Normal 7 2 2 5 2" xfId="7136" xr:uid="{00000000-0005-0000-0000-0000C11B0000}"/>
    <cellStyle name="Normal 7 2 2 5 2 2" xfId="7137" xr:uid="{00000000-0005-0000-0000-0000C21B0000}"/>
    <cellStyle name="Normal 7 2 2 5 3" xfId="7138" xr:uid="{00000000-0005-0000-0000-0000C31B0000}"/>
    <cellStyle name="Normal 7 2 2 5 3 2" xfId="7139" xr:uid="{00000000-0005-0000-0000-0000C41B0000}"/>
    <cellStyle name="Normal 7 2 2 5 4" xfId="7140" xr:uid="{00000000-0005-0000-0000-0000C51B0000}"/>
    <cellStyle name="Normal 7 2 2 6" xfId="7141" xr:uid="{00000000-0005-0000-0000-0000C61B0000}"/>
    <cellStyle name="Normal 7 2 2 6 2" xfId="7142" xr:uid="{00000000-0005-0000-0000-0000C71B0000}"/>
    <cellStyle name="Normal 7 2 2 7" xfId="7143" xr:uid="{00000000-0005-0000-0000-0000C81B0000}"/>
    <cellStyle name="Normal 7 2 2 7 2" xfId="7144" xr:uid="{00000000-0005-0000-0000-0000C91B0000}"/>
    <cellStyle name="Normal 7 2 2 8" xfId="7145" xr:uid="{00000000-0005-0000-0000-0000CA1B0000}"/>
    <cellStyle name="Normal 7 2 3" xfId="7146" xr:uid="{00000000-0005-0000-0000-0000CB1B0000}"/>
    <cellStyle name="Normal 7 2 3 2" xfId="7147" xr:uid="{00000000-0005-0000-0000-0000CC1B0000}"/>
    <cellStyle name="Normal 7 2 3 2 2" xfId="7148" xr:uid="{00000000-0005-0000-0000-0000CD1B0000}"/>
    <cellStyle name="Normal 7 2 3 2 2 2" xfId="7149" xr:uid="{00000000-0005-0000-0000-0000CE1B0000}"/>
    <cellStyle name="Normal 7 2 3 2 2 2 2" xfId="7150" xr:uid="{00000000-0005-0000-0000-0000CF1B0000}"/>
    <cellStyle name="Normal 7 2 3 2 2 2 2 2" xfId="7151" xr:uid="{00000000-0005-0000-0000-0000D01B0000}"/>
    <cellStyle name="Normal 7 2 3 2 2 2 3" xfId="7152" xr:uid="{00000000-0005-0000-0000-0000D11B0000}"/>
    <cellStyle name="Normal 7 2 3 2 2 2 3 2" xfId="7153" xr:uid="{00000000-0005-0000-0000-0000D21B0000}"/>
    <cellStyle name="Normal 7 2 3 2 2 2 4" xfId="7154" xr:uid="{00000000-0005-0000-0000-0000D31B0000}"/>
    <cellStyle name="Normal 7 2 3 2 2 3" xfId="7155" xr:uid="{00000000-0005-0000-0000-0000D41B0000}"/>
    <cellStyle name="Normal 7 2 3 2 2 3 2" xfId="7156" xr:uid="{00000000-0005-0000-0000-0000D51B0000}"/>
    <cellStyle name="Normal 7 2 3 2 2 4" xfId="7157" xr:uid="{00000000-0005-0000-0000-0000D61B0000}"/>
    <cellStyle name="Normal 7 2 3 2 2 4 2" xfId="7158" xr:uid="{00000000-0005-0000-0000-0000D71B0000}"/>
    <cellStyle name="Normal 7 2 3 2 2 5" xfId="7159" xr:uid="{00000000-0005-0000-0000-0000D81B0000}"/>
    <cellStyle name="Normal 7 2 3 2 3" xfId="7160" xr:uid="{00000000-0005-0000-0000-0000D91B0000}"/>
    <cellStyle name="Normal 7 2 3 2 3 2" xfId="7161" xr:uid="{00000000-0005-0000-0000-0000DA1B0000}"/>
    <cellStyle name="Normal 7 2 3 2 3 2 2" xfId="7162" xr:uid="{00000000-0005-0000-0000-0000DB1B0000}"/>
    <cellStyle name="Normal 7 2 3 2 3 3" xfId="7163" xr:uid="{00000000-0005-0000-0000-0000DC1B0000}"/>
    <cellStyle name="Normal 7 2 3 2 3 3 2" xfId="7164" xr:uid="{00000000-0005-0000-0000-0000DD1B0000}"/>
    <cellStyle name="Normal 7 2 3 2 3 4" xfId="7165" xr:uid="{00000000-0005-0000-0000-0000DE1B0000}"/>
    <cellStyle name="Normal 7 2 3 2 4" xfId="7166" xr:uid="{00000000-0005-0000-0000-0000DF1B0000}"/>
    <cellStyle name="Normal 7 2 3 2 4 2" xfId="7167" xr:uid="{00000000-0005-0000-0000-0000E01B0000}"/>
    <cellStyle name="Normal 7 2 3 2 5" xfId="7168" xr:uid="{00000000-0005-0000-0000-0000E11B0000}"/>
    <cellStyle name="Normal 7 2 3 2 5 2" xfId="7169" xr:uid="{00000000-0005-0000-0000-0000E21B0000}"/>
    <cellStyle name="Normal 7 2 3 2 6" xfId="7170" xr:uid="{00000000-0005-0000-0000-0000E31B0000}"/>
    <cellStyle name="Normal 7 2 3 3" xfId="7171" xr:uid="{00000000-0005-0000-0000-0000E41B0000}"/>
    <cellStyle name="Normal 7 2 3 3 2" xfId="7172" xr:uid="{00000000-0005-0000-0000-0000E51B0000}"/>
    <cellStyle name="Normal 7 2 3 3 2 2" xfId="7173" xr:uid="{00000000-0005-0000-0000-0000E61B0000}"/>
    <cellStyle name="Normal 7 2 3 3 2 2 2" xfId="7174" xr:uid="{00000000-0005-0000-0000-0000E71B0000}"/>
    <cellStyle name="Normal 7 2 3 3 2 3" xfId="7175" xr:uid="{00000000-0005-0000-0000-0000E81B0000}"/>
    <cellStyle name="Normal 7 2 3 3 2 3 2" xfId="7176" xr:uid="{00000000-0005-0000-0000-0000E91B0000}"/>
    <cellStyle name="Normal 7 2 3 3 2 4" xfId="7177" xr:uid="{00000000-0005-0000-0000-0000EA1B0000}"/>
    <cellStyle name="Normal 7 2 3 3 3" xfId="7178" xr:uid="{00000000-0005-0000-0000-0000EB1B0000}"/>
    <cellStyle name="Normal 7 2 3 3 3 2" xfId="7179" xr:uid="{00000000-0005-0000-0000-0000EC1B0000}"/>
    <cellStyle name="Normal 7 2 3 3 4" xfId="7180" xr:uid="{00000000-0005-0000-0000-0000ED1B0000}"/>
    <cellStyle name="Normal 7 2 3 3 4 2" xfId="7181" xr:uid="{00000000-0005-0000-0000-0000EE1B0000}"/>
    <cellStyle name="Normal 7 2 3 3 5" xfId="7182" xr:uid="{00000000-0005-0000-0000-0000EF1B0000}"/>
    <cellStyle name="Normal 7 2 3 4" xfId="7183" xr:uid="{00000000-0005-0000-0000-0000F01B0000}"/>
    <cellStyle name="Normal 7 2 3 4 2" xfId="7184" xr:uid="{00000000-0005-0000-0000-0000F11B0000}"/>
    <cellStyle name="Normal 7 2 3 4 2 2" xfId="7185" xr:uid="{00000000-0005-0000-0000-0000F21B0000}"/>
    <cellStyle name="Normal 7 2 3 4 3" xfId="7186" xr:uid="{00000000-0005-0000-0000-0000F31B0000}"/>
    <cellStyle name="Normal 7 2 3 4 3 2" xfId="7187" xr:uid="{00000000-0005-0000-0000-0000F41B0000}"/>
    <cellStyle name="Normal 7 2 3 4 4" xfId="7188" xr:uid="{00000000-0005-0000-0000-0000F51B0000}"/>
    <cellStyle name="Normal 7 2 3 5" xfId="7189" xr:uid="{00000000-0005-0000-0000-0000F61B0000}"/>
    <cellStyle name="Normal 7 2 3 5 2" xfId="7190" xr:uid="{00000000-0005-0000-0000-0000F71B0000}"/>
    <cellStyle name="Normal 7 2 3 6" xfId="7191" xr:uid="{00000000-0005-0000-0000-0000F81B0000}"/>
    <cellStyle name="Normal 7 2 3 6 2" xfId="7192" xr:uid="{00000000-0005-0000-0000-0000F91B0000}"/>
    <cellStyle name="Normal 7 2 3 7" xfId="7193" xr:uid="{00000000-0005-0000-0000-0000FA1B0000}"/>
    <cellStyle name="Normal 7 2 4" xfId="7194" xr:uid="{00000000-0005-0000-0000-0000FB1B0000}"/>
    <cellStyle name="Normal 7 2 4 2" xfId="7195" xr:uid="{00000000-0005-0000-0000-0000FC1B0000}"/>
    <cellStyle name="Normal 7 2 4 2 2" xfId="7196" xr:uid="{00000000-0005-0000-0000-0000FD1B0000}"/>
    <cellStyle name="Normal 7 2 4 2 2 2" xfId="7197" xr:uid="{00000000-0005-0000-0000-0000FE1B0000}"/>
    <cellStyle name="Normal 7 2 4 2 2 2 2" xfId="7198" xr:uid="{00000000-0005-0000-0000-0000FF1B0000}"/>
    <cellStyle name="Normal 7 2 4 2 2 2 2 2" xfId="7199" xr:uid="{00000000-0005-0000-0000-0000001C0000}"/>
    <cellStyle name="Normal 7 2 4 2 2 2 3" xfId="7200" xr:uid="{00000000-0005-0000-0000-0000011C0000}"/>
    <cellStyle name="Normal 7 2 4 2 2 2 3 2" xfId="7201" xr:uid="{00000000-0005-0000-0000-0000021C0000}"/>
    <cellStyle name="Normal 7 2 4 2 2 2 4" xfId="7202" xr:uid="{00000000-0005-0000-0000-0000031C0000}"/>
    <cellStyle name="Normal 7 2 4 2 2 3" xfId="7203" xr:uid="{00000000-0005-0000-0000-0000041C0000}"/>
    <cellStyle name="Normal 7 2 4 2 2 3 2" xfId="7204" xr:uid="{00000000-0005-0000-0000-0000051C0000}"/>
    <cellStyle name="Normal 7 2 4 2 2 4" xfId="7205" xr:uid="{00000000-0005-0000-0000-0000061C0000}"/>
    <cellStyle name="Normal 7 2 4 2 2 4 2" xfId="7206" xr:uid="{00000000-0005-0000-0000-0000071C0000}"/>
    <cellStyle name="Normal 7 2 4 2 2 5" xfId="7207" xr:uid="{00000000-0005-0000-0000-0000081C0000}"/>
    <cellStyle name="Normal 7 2 4 2 3" xfId="7208" xr:uid="{00000000-0005-0000-0000-0000091C0000}"/>
    <cellStyle name="Normal 7 2 4 2 3 2" xfId="7209" xr:uid="{00000000-0005-0000-0000-00000A1C0000}"/>
    <cellStyle name="Normal 7 2 4 2 3 2 2" xfId="7210" xr:uid="{00000000-0005-0000-0000-00000B1C0000}"/>
    <cellStyle name="Normal 7 2 4 2 3 3" xfId="7211" xr:uid="{00000000-0005-0000-0000-00000C1C0000}"/>
    <cellStyle name="Normal 7 2 4 2 3 3 2" xfId="7212" xr:uid="{00000000-0005-0000-0000-00000D1C0000}"/>
    <cellStyle name="Normal 7 2 4 2 3 4" xfId="7213" xr:uid="{00000000-0005-0000-0000-00000E1C0000}"/>
    <cellStyle name="Normal 7 2 4 2 4" xfId="7214" xr:uid="{00000000-0005-0000-0000-00000F1C0000}"/>
    <cellStyle name="Normal 7 2 4 2 4 2" xfId="7215" xr:uid="{00000000-0005-0000-0000-0000101C0000}"/>
    <cellStyle name="Normal 7 2 4 2 5" xfId="7216" xr:uid="{00000000-0005-0000-0000-0000111C0000}"/>
    <cellStyle name="Normal 7 2 4 2 5 2" xfId="7217" xr:uid="{00000000-0005-0000-0000-0000121C0000}"/>
    <cellStyle name="Normal 7 2 4 2 6" xfId="7218" xr:uid="{00000000-0005-0000-0000-0000131C0000}"/>
    <cellStyle name="Normal 7 2 4 3" xfId="7219" xr:uid="{00000000-0005-0000-0000-0000141C0000}"/>
    <cellStyle name="Normal 7 2 4 3 2" xfId="7220" xr:uid="{00000000-0005-0000-0000-0000151C0000}"/>
    <cellStyle name="Normal 7 2 4 3 2 2" xfId="7221" xr:uid="{00000000-0005-0000-0000-0000161C0000}"/>
    <cellStyle name="Normal 7 2 4 3 2 2 2" xfId="7222" xr:uid="{00000000-0005-0000-0000-0000171C0000}"/>
    <cellStyle name="Normal 7 2 4 3 2 3" xfId="7223" xr:uid="{00000000-0005-0000-0000-0000181C0000}"/>
    <cellStyle name="Normal 7 2 4 3 2 3 2" xfId="7224" xr:uid="{00000000-0005-0000-0000-0000191C0000}"/>
    <cellStyle name="Normal 7 2 4 3 2 4" xfId="7225" xr:uid="{00000000-0005-0000-0000-00001A1C0000}"/>
    <cellStyle name="Normal 7 2 4 3 3" xfId="7226" xr:uid="{00000000-0005-0000-0000-00001B1C0000}"/>
    <cellStyle name="Normal 7 2 4 3 3 2" xfId="7227" xr:uid="{00000000-0005-0000-0000-00001C1C0000}"/>
    <cellStyle name="Normal 7 2 4 3 4" xfId="7228" xr:uid="{00000000-0005-0000-0000-00001D1C0000}"/>
    <cellStyle name="Normal 7 2 4 3 4 2" xfId="7229" xr:uid="{00000000-0005-0000-0000-00001E1C0000}"/>
    <cellStyle name="Normal 7 2 4 3 5" xfId="7230" xr:uid="{00000000-0005-0000-0000-00001F1C0000}"/>
    <cellStyle name="Normal 7 2 4 4" xfId="7231" xr:uid="{00000000-0005-0000-0000-0000201C0000}"/>
    <cellStyle name="Normal 7 2 4 4 2" xfId="7232" xr:uid="{00000000-0005-0000-0000-0000211C0000}"/>
    <cellStyle name="Normal 7 2 4 4 2 2" xfId="7233" xr:uid="{00000000-0005-0000-0000-0000221C0000}"/>
    <cellStyle name="Normal 7 2 4 4 3" xfId="7234" xr:uid="{00000000-0005-0000-0000-0000231C0000}"/>
    <cellStyle name="Normal 7 2 4 4 3 2" xfId="7235" xr:uid="{00000000-0005-0000-0000-0000241C0000}"/>
    <cellStyle name="Normal 7 2 4 4 4" xfId="7236" xr:uid="{00000000-0005-0000-0000-0000251C0000}"/>
    <cellStyle name="Normal 7 2 4 5" xfId="7237" xr:uid="{00000000-0005-0000-0000-0000261C0000}"/>
    <cellStyle name="Normal 7 2 4 5 2" xfId="7238" xr:uid="{00000000-0005-0000-0000-0000271C0000}"/>
    <cellStyle name="Normal 7 2 4 6" xfId="7239" xr:uid="{00000000-0005-0000-0000-0000281C0000}"/>
    <cellStyle name="Normal 7 2 4 6 2" xfId="7240" xr:uid="{00000000-0005-0000-0000-0000291C0000}"/>
    <cellStyle name="Normal 7 2 4 7" xfId="7241" xr:uid="{00000000-0005-0000-0000-00002A1C0000}"/>
    <cellStyle name="Normal 7 2 5" xfId="7242" xr:uid="{00000000-0005-0000-0000-00002B1C0000}"/>
    <cellStyle name="Normal 7 2 5 2" xfId="7243" xr:uid="{00000000-0005-0000-0000-00002C1C0000}"/>
    <cellStyle name="Normal 7 2 5 2 2" xfId="7244" xr:uid="{00000000-0005-0000-0000-00002D1C0000}"/>
    <cellStyle name="Normal 7 2 5 2 2 2" xfId="7245" xr:uid="{00000000-0005-0000-0000-00002E1C0000}"/>
    <cellStyle name="Normal 7 2 5 2 2 2 2" xfId="7246" xr:uid="{00000000-0005-0000-0000-00002F1C0000}"/>
    <cellStyle name="Normal 7 2 5 2 2 3" xfId="7247" xr:uid="{00000000-0005-0000-0000-0000301C0000}"/>
    <cellStyle name="Normal 7 2 5 2 2 3 2" xfId="7248" xr:uid="{00000000-0005-0000-0000-0000311C0000}"/>
    <cellStyle name="Normal 7 2 5 2 2 4" xfId="7249" xr:uid="{00000000-0005-0000-0000-0000321C0000}"/>
    <cellStyle name="Normal 7 2 5 2 3" xfId="7250" xr:uid="{00000000-0005-0000-0000-0000331C0000}"/>
    <cellStyle name="Normal 7 2 5 2 3 2" xfId="7251" xr:uid="{00000000-0005-0000-0000-0000341C0000}"/>
    <cellStyle name="Normal 7 2 5 2 4" xfId="7252" xr:uid="{00000000-0005-0000-0000-0000351C0000}"/>
    <cellStyle name="Normal 7 2 5 2 4 2" xfId="7253" xr:uid="{00000000-0005-0000-0000-0000361C0000}"/>
    <cellStyle name="Normal 7 2 5 2 5" xfId="7254" xr:uid="{00000000-0005-0000-0000-0000371C0000}"/>
    <cellStyle name="Normal 7 2 5 3" xfId="7255" xr:uid="{00000000-0005-0000-0000-0000381C0000}"/>
    <cellStyle name="Normal 7 2 5 3 2" xfId="7256" xr:uid="{00000000-0005-0000-0000-0000391C0000}"/>
    <cellStyle name="Normal 7 2 5 3 2 2" xfId="7257" xr:uid="{00000000-0005-0000-0000-00003A1C0000}"/>
    <cellStyle name="Normal 7 2 5 3 3" xfId="7258" xr:uid="{00000000-0005-0000-0000-00003B1C0000}"/>
    <cellStyle name="Normal 7 2 5 3 3 2" xfId="7259" xr:uid="{00000000-0005-0000-0000-00003C1C0000}"/>
    <cellStyle name="Normal 7 2 5 3 4" xfId="7260" xr:uid="{00000000-0005-0000-0000-00003D1C0000}"/>
    <cellStyle name="Normal 7 2 5 4" xfId="7261" xr:uid="{00000000-0005-0000-0000-00003E1C0000}"/>
    <cellStyle name="Normal 7 2 5 4 2" xfId="7262" xr:uid="{00000000-0005-0000-0000-00003F1C0000}"/>
    <cellStyle name="Normal 7 2 5 5" xfId="7263" xr:uid="{00000000-0005-0000-0000-0000401C0000}"/>
    <cellStyle name="Normal 7 2 5 5 2" xfId="7264" xr:uid="{00000000-0005-0000-0000-0000411C0000}"/>
    <cellStyle name="Normal 7 2 5 6" xfId="7265" xr:uid="{00000000-0005-0000-0000-0000421C0000}"/>
    <cellStyle name="Normal 7 2 6" xfId="7266" xr:uid="{00000000-0005-0000-0000-0000431C0000}"/>
    <cellStyle name="Normal 7 2 6 2" xfId="7267" xr:uid="{00000000-0005-0000-0000-0000441C0000}"/>
    <cellStyle name="Normal 7 2 6 2 2" xfId="7268" xr:uid="{00000000-0005-0000-0000-0000451C0000}"/>
    <cellStyle name="Normal 7 2 6 2 2 2" xfId="7269" xr:uid="{00000000-0005-0000-0000-0000461C0000}"/>
    <cellStyle name="Normal 7 2 6 2 3" xfId="7270" xr:uid="{00000000-0005-0000-0000-0000471C0000}"/>
    <cellStyle name="Normal 7 2 6 2 3 2" xfId="7271" xr:uid="{00000000-0005-0000-0000-0000481C0000}"/>
    <cellStyle name="Normal 7 2 6 2 4" xfId="7272" xr:uid="{00000000-0005-0000-0000-0000491C0000}"/>
    <cellStyle name="Normal 7 2 6 3" xfId="7273" xr:uid="{00000000-0005-0000-0000-00004A1C0000}"/>
    <cellStyle name="Normal 7 2 6 3 2" xfId="7274" xr:uid="{00000000-0005-0000-0000-00004B1C0000}"/>
    <cellStyle name="Normal 7 2 6 4" xfId="7275" xr:uid="{00000000-0005-0000-0000-00004C1C0000}"/>
    <cellStyle name="Normal 7 2 6 4 2" xfId="7276" xr:uid="{00000000-0005-0000-0000-00004D1C0000}"/>
    <cellStyle name="Normal 7 2 6 5" xfId="7277" xr:uid="{00000000-0005-0000-0000-00004E1C0000}"/>
    <cellStyle name="Normal 7 2 7" xfId="7278" xr:uid="{00000000-0005-0000-0000-00004F1C0000}"/>
    <cellStyle name="Normal 7 2 7 2" xfId="7279" xr:uid="{00000000-0005-0000-0000-0000501C0000}"/>
    <cellStyle name="Normal 7 2 7 2 2" xfId="7280" xr:uid="{00000000-0005-0000-0000-0000511C0000}"/>
    <cellStyle name="Normal 7 2 7 3" xfId="7281" xr:uid="{00000000-0005-0000-0000-0000521C0000}"/>
    <cellStyle name="Normal 7 2 7 3 2" xfId="7282" xr:uid="{00000000-0005-0000-0000-0000531C0000}"/>
    <cellStyle name="Normal 7 2 7 4" xfId="7283" xr:uid="{00000000-0005-0000-0000-0000541C0000}"/>
    <cellStyle name="Normal 7 2 8" xfId="7284" xr:uid="{00000000-0005-0000-0000-0000551C0000}"/>
    <cellStyle name="Normal 7 2 8 2" xfId="7285" xr:uid="{00000000-0005-0000-0000-0000561C0000}"/>
    <cellStyle name="Normal 7 2 9" xfId="7286" xr:uid="{00000000-0005-0000-0000-0000571C0000}"/>
    <cellStyle name="Normal 7 2 9 2" xfId="7287" xr:uid="{00000000-0005-0000-0000-0000581C0000}"/>
    <cellStyle name="Normal 7 3" xfId="7288" xr:uid="{00000000-0005-0000-0000-0000591C0000}"/>
    <cellStyle name="Normal 7 3 2" xfId="7289" xr:uid="{00000000-0005-0000-0000-00005A1C0000}"/>
    <cellStyle name="Normal 7 3 2 2" xfId="7290" xr:uid="{00000000-0005-0000-0000-00005B1C0000}"/>
    <cellStyle name="Normal 7 3 2 2 2" xfId="7291" xr:uid="{00000000-0005-0000-0000-00005C1C0000}"/>
    <cellStyle name="Normal 7 3 2 2 2 2" xfId="7292" xr:uid="{00000000-0005-0000-0000-00005D1C0000}"/>
    <cellStyle name="Normal 7 3 2 2 2 2 2" xfId="7293" xr:uid="{00000000-0005-0000-0000-00005E1C0000}"/>
    <cellStyle name="Normal 7 3 2 2 2 2 2 2" xfId="7294" xr:uid="{00000000-0005-0000-0000-00005F1C0000}"/>
    <cellStyle name="Normal 7 3 2 2 2 2 3" xfId="7295" xr:uid="{00000000-0005-0000-0000-0000601C0000}"/>
    <cellStyle name="Normal 7 3 2 2 2 2 3 2" xfId="7296" xr:uid="{00000000-0005-0000-0000-0000611C0000}"/>
    <cellStyle name="Normal 7 3 2 2 2 2 4" xfId="7297" xr:uid="{00000000-0005-0000-0000-0000621C0000}"/>
    <cellStyle name="Normal 7 3 2 2 2 3" xfId="7298" xr:uid="{00000000-0005-0000-0000-0000631C0000}"/>
    <cellStyle name="Normal 7 3 2 2 2 3 2" xfId="7299" xr:uid="{00000000-0005-0000-0000-0000641C0000}"/>
    <cellStyle name="Normal 7 3 2 2 2 4" xfId="7300" xr:uid="{00000000-0005-0000-0000-0000651C0000}"/>
    <cellStyle name="Normal 7 3 2 2 2 4 2" xfId="7301" xr:uid="{00000000-0005-0000-0000-0000661C0000}"/>
    <cellStyle name="Normal 7 3 2 2 2 5" xfId="7302" xr:uid="{00000000-0005-0000-0000-0000671C0000}"/>
    <cellStyle name="Normal 7 3 2 2 3" xfId="7303" xr:uid="{00000000-0005-0000-0000-0000681C0000}"/>
    <cellStyle name="Normal 7 3 2 2 3 2" xfId="7304" xr:uid="{00000000-0005-0000-0000-0000691C0000}"/>
    <cellStyle name="Normal 7 3 2 2 3 2 2" xfId="7305" xr:uid="{00000000-0005-0000-0000-00006A1C0000}"/>
    <cellStyle name="Normal 7 3 2 2 3 3" xfId="7306" xr:uid="{00000000-0005-0000-0000-00006B1C0000}"/>
    <cellStyle name="Normal 7 3 2 2 3 3 2" xfId="7307" xr:uid="{00000000-0005-0000-0000-00006C1C0000}"/>
    <cellStyle name="Normal 7 3 2 2 3 4" xfId="7308" xr:uid="{00000000-0005-0000-0000-00006D1C0000}"/>
    <cellStyle name="Normal 7 3 2 2 4" xfId="7309" xr:uid="{00000000-0005-0000-0000-00006E1C0000}"/>
    <cellStyle name="Normal 7 3 2 2 4 2" xfId="7310" xr:uid="{00000000-0005-0000-0000-00006F1C0000}"/>
    <cellStyle name="Normal 7 3 2 2 5" xfId="7311" xr:uid="{00000000-0005-0000-0000-0000701C0000}"/>
    <cellStyle name="Normal 7 3 2 2 5 2" xfId="7312" xr:uid="{00000000-0005-0000-0000-0000711C0000}"/>
    <cellStyle name="Normal 7 3 2 2 6" xfId="7313" xr:uid="{00000000-0005-0000-0000-0000721C0000}"/>
    <cellStyle name="Normal 7 3 2 3" xfId="7314" xr:uid="{00000000-0005-0000-0000-0000731C0000}"/>
    <cellStyle name="Normal 7 3 2 3 2" xfId="7315" xr:uid="{00000000-0005-0000-0000-0000741C0000}"/>
    <cellStyle name="Normal 7 3 2 3 2 2" xfId="7316" xr:uid="{00000000-0005-0000-0000-0000751C0000}"/>
    <cellStyle name="Normal 7 3 2 3 2 2 2" xfId="7317" xr:uid="{00000000-0005-0000-0000-0000761C0000}"/>
    <cellStyle name="Normal 7 3 2 3 2 3" xfId="7318" xr:uid="{00000000-0005-0000-0000-0000771C0000}"/>
    <cellStyle name="Normal 7 3 2 3 2 3 2" xfId="7319" xr:uid="{00000000-0005-0000-0000-0000781C0000}"/>
    <cellStyle name="Normal 7 3 2 3 2 4" xfId="7320" xr:uid="{00000000-0005-0000-0000-0000791C0000}"/>
    <cellStyle name="Normal 7 3 2 3 3" xfId="7321" xr:uid="{00000000-0005-0000-0000-00007A1C0000}"/>
    <cellStyle name="Normal 7 3 2 3 3 2" xfId="7322" xr:uid="{00000000-0005-0000-0000-00007B1C0000}"/>
    <cellStyle name="Normal 7 3 2 3 4" xfId="7323" xr:uid="{00000000-0005-0000-0000-00007C1C0000}"/>
    <cellStyle name="Normal 7 3 2 3 4 2" xfId="7324" xr:uid="{00000000-0005-0000-0000-00007D1C0000}"/>
    <cellStyle name="Normal 7 3 2 3 5" xfId="7325" xr:uid="{00000000-0005-0000-0000-00007E1C0000}"/>
    <cellStyle name="Normal 7 3 2 4" xfId="7326" xr:uid="{00000000-0005-0000-0000-00007F1C0000}"/>
    <cellStyle name="Normal 7 3 2 4 2" xfId="7327" xr:uid="{00000000-0005-0000-0000-0000801C0000}"/>
    <cellStyle name="Normal 7 3 2 4 2 2" xfId="7328" xr:uid="{00000000-0005-0000-0000-0000811C0000}"/>
    <cellStyle name="Normal 7 3 2 4 3" xfId="7329" xr:uid="{00000000-0005-0000-0000-0000821C0000}"/>
    <cellStyle name="Normal 7 3 2 4 3 2" xfId="7330" xr:uid="{00000000-0005-0000-0000-0000831C0000}"/>
    <cellStyle name="Normal 7 3 2 4 4" xfId="7331" xr:uid="{00000000-0005-0000-0000-0000841C0000}"/>
    <cellStyle name="Normal 7 3 2 5" xfId="7332" xr:uid="{00000000-0005-0000-0000-0000851C0000}"/>
    <cellStyle name="Normal 7 3 2 5 2" xfId="7333" xr:uid="{00000000-0005-0000-0000-0000861C0000}"/>
    <cellStyle name="Normal 7 3 2 6" xfId="7334" xr:uid="{00000000-0005-0000-0000-0000871C0000}"/>
    <cellStyle name="Normal 7 3 2 6 2" xfId="7335" xr:uid="{00000000-0005-0000-0000-0000881C0000}"/>
    <cellStyle name="Normal 7 3 2 7" xfId="7336" xr:uid="{00000000-0005-0000-0000-0000891C0000}"/>
    <cellStyle name="Normal 7 3 3" xfId="7337" xr:uid="{00000000-0005-0000-0000-00008A1C0000}"/>
    <cellStyle name="Normal 7 3 3 2" xfId="7338" xr:uid="{00000000-0005-0000-0000-00008B1C0000}"/>
    <cellStyle name="Normal 7 3 3 2 2" xfId="7339" xr:uid="{00000000-0005-0000-0000-00008C1C0000}"/>
    <cellStyle name="Normal 7 3 3 2 2 2" xfId="7340" xr:uid="{00000000-0005-0000-0000-00008D1C0000}"/>
    <cellStyle name="Normal 7 3 3 2 2 2 2" xfId="7341" xr:uid="{00000000-0005-0000-0000-00008E1C0000}"/>
    <cellStyle name="Normal 7 3 3 2 2 3" xfId="7342" xr:uid="{00000000-0005-0000-0000-00008F1C0000}"/>
    <cellStyle name="Normal 7 3 3 2 2 3 2" xfId="7343" xr:uid="{00000000-0005-0000-0000-0000901C0000}"/>
    <cellStyle name="Normal 7 3 3 2 2 4" xfId="7344" xr:uid="{00000000-0005-0000-0000-0000911C0000}"/>
    <cellStyle name="Normal 7 3 3 2 3" xfId="7345" xr:uid="{00000000-0005-0000-0000-0000921C0000}"/>
    <cellStyle name="Normal 7 3 3 2 3 2" xfId="7346" xr:uid="{00000000-0005-0000-0000-0000931C0000}"/>
    <cellStyle name="Normal 7 3 3 2 4" xfId="7347" xr:uid="{00000000-0005-0000-0000-0000941C0000}"/>
    <cellStyle name="Normal 7 3 3 2 4 2" xfId="7348" xr:uid="{00000000-0005-0000-0000-0000951C0000}"/>
    <cellStyle name="Normal 7 3 3 2 5" xfId="7349" xr:uid="{00000000-0005-0000-0000-0000961C0000}"/>
    <cellStyle name="Normal 7 3 3 3" xfId="7350" xr:uid="{00000000-0005-0000-0000-0000971C0000}"/>
    <cellStyle name="Normal 7 3 3 3 2" xfId="7351" xr:uid="{00000000-0005-0000-0000-0000981C0000}"/>
    <cellStyle name="Normal 7 3 3 3 2 2" xfId="7352" xr:uid="{00000000-0005-0000-0000-0000991C0000}"/>
    <cellStyle name="Normal 7 3 3 3 3" xfId="7353" xr:uid="{00000000-0005-0000-0000-00009A1C0000}"/>
    <cellStyle name="Normal 7 3 3 3 3 2" xfId="7354" xr:uid="{00000000-0005-0000-0000-00009B1C0000}"/>
    <cellStyle name="Normal 7 3 3 3 4" xfId="7355" xr:uid="{00000000-0005-0000-0000-00009C1C0000}"/>
    <cellStyle name="Normal 7 3 3 4" xfId="7356" xr:uid="{00000000-0005-0000-0000-00009D1C0000}"/>
    <cellStyle name="Normal 7 3 3 4 2" xfId="7357" xr:uid="{00000000-0005-0000-0000-00009E1C0000}"/>
    <cellStyle name="Normal 7 3 3 5" xfId="7358" xr:uid="{00000000-0005-0000-0000-00009F1C0000}"/>
    <cellStyle name="Normal 7 3 3 5 2" xfId="7359" xr:uid="{00000000-0005-0000-0000-0000A01C0000}"/>
    <cellStyle name="Normal 7 3 3 6" xfId="7360" xr:uid="{00000000-0005-0000-0000-0000A11C0000}"/>
    <cellStyle name="Normal 7 3 4" xfId="7361" xr:uid="{00000000-0005-0000-0000-0000A21C0000}"/>
    <cellStyle name="Normal 7 3 4 2" xfId="7362" xr:uid="{00000000-0005-0000-0000-0000A31C0000}"/>
    <cellStyle name="Normal 7 3 4 2 2" xfId="7363" xr:uid="{00000000-0005-0000-0000-0000A41C0000}"/>
    <cellStyle name="Normal 7 3 4 2 2 2" xfId="7364" xr:uid="{00000000-0005-0000-0000-0000A51C0000}"/>
    <cellStyle name="Normal 7 3 4 2 3" xfId="7365" xr:uid="{00000000-0005-0000-0000-0000A61C0000}"/>
    <cellStyle name="Normal 7 3 4 2 3 2" xfId="7366" xr:uid="{00000000-0005-0000-0000-0000A71C0000}"/>
    <cellStyle name="Normal 7 3 4 2 4" xfId="7367" xr:uid="{00000000-0005-0000-0000-0000A81C0000}"/>
    <cellStyle name="Normal 7 3 4 3" xfId="7368" xr:uid="{00000000-0005-0000-0000-0000A91C0000}"/>
    <cellStyle name="Normal 7 3 4 3 2" xfId="7369" xr:uid="{00000000-0005-0000-0000-0000AA1C0000}"/>
    <cellStyle name="Normal 7 3 4 4" xfId="7370" xr:uid="{00000000-0005-0000-0000-0000AB1C0000}"/>
    <cellStyle name="Normal 7 3 4 4 2" xfId="7371" xr:uid="{00000000-0005-0000-0000-0000AC1C0000}"/>
    <cellStyle name="Normal 7 3 4 5" xfId="7372" xr:uid="{00000000-0005-0000-0000-0000AD1C0000}"/>
    <cellStyle name="Normal 7 3 5" xfId="7373" xr:uid="{00000000-0005-0000-0000-0000AE1C0000}"/>
    <cellStyle name="Normal 7 3 5 2" xfId="7374" xr:uid="{00000000-0005-0000-0000-0000AF1C0000}"/>
    <cellStyle name="Normal 7 3 5 2 2" xfId="7375" xr:uid="{00000000-0005-0000-0000-0000B01C0000}"/>
    <cellStyle name="Normal 7 3 5 3" xfId="7376" xr:uid="{00000000-0005-0000-0000-0000B11C0000}"/>
    <cellStyle name="Normal 7 3 5 3 2" xfId="7377" xr:uid="{00000000-0005-0000-0000-0000B21C0000}"/>
    <cellStyle name="Normal 7 3 5 4" xfId="7378" xr:uid="{00000000-0005-0000-0000-0000B31C0000}"/>
    <cellStyle name="Normal 7 3 6" xfId="7379" xr:uid="{00000000-0005-0000-0000-0000B41C0000}"/>
    <cellStyle name="Normal 7 3 6 2" xfId="7380" xr:uid="{00000000-0005-0000-0000-0000B51C0000}"/>
    <cellStyle name="Normal 7 3 7" xfId="7381" xr:uid="{00000000-0005-0000-0000-0000B61C0000}"/>
    <cellStyle name="Normal 7 3 7 2" xfId="7382" xr:uid="{00000000-0005-0000-0000-0000B71C0000}"/>
    <cellStyle name="Normal 7 3 8" xfId="7383" xr:uid="{00000000-0005-0000-0000-0000B81C0000}"/>
    <cellStyle name="Normal 7 3 9" xfId="7384" xr:uid="{00000000-0005-0000-0000-0000B91C0000}"/>
    <cellStyle name="Normal 7 4" xfId="7385" xr:uid="{00000000-0005-0000-0000-0000BA1C0000}"/>
    <cellStyle name="Normal 7 4 2" xfId="7386" xr:uid="{00000000-0005-0000-0000-0000BB1C0000}"/>
    <cellStyle name="Normal 7 4 2 2" xfId="7387" xr:uid="{00000000-0005-0000-0000-0000BC1C0000}"/>
    <cellStyle name="Normal 7 4 2 2 2" xfId="7388" xr:uid="{00000000-0005-0000-0000-0000BD1C0000}"/>
    <cellStyle name="Normal 7 4 2 2 2 2" xfId="7389" xr:uid="{00000000-0005-0000-0000-0000BE1C0000}"/>
    <cellStyle name="Normal 7 4 2 2 2 2 2" xfId="7390" xr:uid="{00000000-0005-0000-0000-0000BF1C0000}"/>
    <cellStyle name="Normal 7 4 2 2 2 3" xfId="7391" xr:uid="{00000000-0005-0000-0000-0000C01C0000}"/>
    <cellStyle name="Normal 7 4 2 2 2 3 2" xfId="7392" xr:uid="{00000000-0005-0000-0000-0000C11C0000}"/>
    <cellStyle name="Normal 7 4 2 2 2 4" xfId="7393" xr:uid="{00000000-0005-0000-0000-0000C21C0000}"/>
    <cellStyle name="Normal 7 4 2 2 3" xfId="7394" xr:uid="{00000000-0005-0000-0000-0000C31C0000}"/>
    <cellStyle name="Normal 7 4 2 2 3 2" xfId="7395" xr:uid="{00000000-0005-0000-0000-0000C41C0000}"/>
    <cellStyle name="Normal 7 4 2 2 4" xfId="7396" xr:uid="{00000000-0005-0000-0000-0000C51C0000}"/>
    <cellStyle name="Normal 7 4 2 2 4 2" xfId="7397" xr:uid="{00000000-0005-0000-0000-0000C61C0000}"/>
    <cellStyle name="Normal 7 4 2 2 5" xfId="7398" xr:uid="{00000000-0005-0000-0000-0000C71C0000}"/>
    <cellStyle name="Normal 7 4 2 3" xfId="7399" xr:uid="{00000000-0005-0000-0000-0000C81C0000}"/>
    <cellStyle name="Normal 7 4 2 3 2" xfId="7400" xr:uid="{00000000-0005-0000-0000-0000C91C0000}"/>
    <cellStyle name="Normal 7 4 2 3 2 2" xfId="7401" xr:uid="{00000000-0005-0000-0000-0000CA1C0000}"/>
    <cellStyle name="Normal 7 4 2 3 3" xfId="7402" xr:uid="{00000000-0005-0000-0000-0000CB1C0000}"/>
    <cellStyle name="Normal 7 4 2 3 3 2" xfId="7403" xr:uid="{00000000-0005-0000-0000-0000CC1C0000}"/>
    <cellStyle name="Normal 7 4 2 3 4" xfId="7404" xr:uid="{00000000-0005-0000-0000-0000CD1C0000}"/>
    <cellStyle name="Normal 7 4 2 4" xfId="7405" xr:uid="{00000000-0005-0000-0000-0000CE1C0000}"/>
    <cellStyle name="Normal 7 4 2 4 2" xfId="7406" xr:uid="{00000000-0005-0000-0000-0000CF1C0000}"/>
    <cellStyle name="Normal 7 4 2 5" xfId="7407" xr:uid="{00000000-0005-0000-0000-0000D01C0000}"/>
    <cellStyle name="Normal 7 4 2 5 2" xfId="7408" xr:uid="{00000000-0005-0000-0000-0000D11C0000}"/>
    <cellStyle name="Normal 7 4 2 6" xfId="7409" xr:uid="{00000000-0005-0000-0000-0000D21C0000}"/>
    <cellStyle name="Normal 7 4 3" xfId="7410" xr:uid="{00000000-0005-0000-0000-0000D31C0000}"/>
    <cellStyle name="Normal 7 4 3 2" xfId="7411" xr:uid="{00000000-0005-0000-0000-0000D41C0000}"/>
    <cellStyle name="Normal 7 4 3 2 2" xfId="7412" xr:uid="{00000000-0005-0000-0000-0000D51C0000}"/>
    <cellStyle name="Normal 7 4 3 2 2 2" xfId="7413" xr:uid="{00000000-0005-0000-0000-0000D61C0000}"/>
    <cellStyle name="Normal 7 4 3 2 3" xfId="7414" xr:uid="{00000000-0005-0000-0000-0000D71C0000}"/>
    <cellStyle name="Normal 7 4 3 2 3 2" xfId="7415" xr:uid="{00000000-0005-0000-0000-0000D81C0000}"/>
    <cellStyle name="Normal 7 4 3 2 4" xfId="7416" xr:uid="{00000000-0005-0000-0000-0000D91C0000}"/>
    <cellStyle name="Normal 7 4 3 3" xfId="7417" xr:uid="{00000000-0005-0000-0000-0000DA1C0000}"/>
    <cellStyle name="Normal 7 4 3 3 2" xfId="7418" xr:uid="{00000000-0005-0000-0000-0000DB1C0000}"/>
    <cellStyle name="Normal 7 4 3 4" xfId="7419" xr:uid="{00000000-0005-0000-0000-0000DC1C0000}"/>
    <cellStyle name="Normal 7 4 3 4 2" xfId="7420" xr:uid="{00000000-0005-0000-0000-0000DD1C0000}"/>
    <cellStyle name="Normal 7 4 3 5" xfId="7421" xr:uid="{00000000-0005-0000-0000-0000DE1C0000}"/>
    <cellStyle name="Normal 7 4 4" xfId="7422" xr:uid="{00000000-0005-0000-0000-0000DF1C0000}"/>
    <cellStyle name="Normal 7 4 4 2" xfId="7423" xr:uid="{00000000-0005-0000-0000-0000E01C0000}"/>
    <cellStyle name="Normal 7 4 4 2 2" xfId="7424" xr:uid="{00000000-0005-0000-0000-0000E11C0000}"/>
    <cellStyle name="Normal 7 4 4 3" xfId="7425" xr:uid="{00000000-0005-0000-0000-0000E21C0000}"/>
    <cellStyle name="Normal 7 4 4 3 2" xfId="7426" xr:uid="{00000000-0005-0000-0000-0000E31C0000}"/>
    <cellStyle name="Normal 7 4 4 4" xfId="7427" xr:uid="{00000000-0005-0000-0000-0000E41C0000}"/>
    <cellStyle name="Normal 7 4 5" xfId="7428" xr:uid="{00000000-0005-0000-0000-0000E51C0000}"/>
    <cellStyle name="Normal 7 4 5 2" xfId="7429" xr:uid="{00000000-0005-0000-0000-0000E61C0000}"/>
    <cellStyle name="Normal 7 4 6" xfId="7430" xr:uid="{00000000-0005-0000-0000-0000E71C0000}"/>
    <cellStyle name="Normal 7 4 6 2" xfId="7431" xr:uid="{00000000-0005-0000-0000-0000E81C0000}"/>
    <cellStyle name="Normal 7 4 7" xfId="7432" xr:uid="{00000000-0005-0000-0000-0000E91C0000}"/>
    <cellStyle name="Normal 7 5" xfId="7433" xr:uid="{00000000-0005-0000-0000-0000EA1C0000}"/>
    <cellStyle name="Normal 7 5 2" xfId="7434" xr:uid="{00000000-0005-0000-0000-0000EB1C0000}"/>
    <cellStyle name="Normal 7 5 2 2" xfId="7435" xr:uid="{00000000-0005-0000-0000-0000EC1C0000}"/>
    <cellStyle name="Normal 7 5 2 2 2" xfId="7436" xr:uid="{00000000-0005-0000-0000-0000ED1C0000}"/>
    <cellStyle name="Normal 7 5 2 2 2 2" xfId="7437" xr:uid="{00000000-0005-0000-0000-0000EE1C0000}"/>
    <cellStyle name="Normal 7 5 2 2 2 2 2" xfId="7438" xr:uid="{00000000-0005-0000-0000-0000EF1C0000}"/>
    <cellStyle name="Normal 7 5 2 2 2 3" xfId="7439" xr:uid="{00000000-0005-0000-0000-0000F01C0000}"/>
    <cellStyle name="Normal 7 5 2 2 2 3 2" xfId="7440" xr:uid="{00000000-0005-0000-0000-0000F11C0000}"/>
    <cellStyle name="Normal 7 5 2 2 2 4" xfId="7441" xr:uid="{00000000-0005-0000-0000-0000F21C0000}"/>
    <cellStyle name="Normal 7 5 2 2 3" xfId="7442" xr:uid="{00000000-0005-0000-0000-0000F31C0000}"/>
    <cellStyle name="Normal 7 5 2 2 3 2" xfId="7443" xr:uid="{00000000-0005-0000-0000-0000F41C0000}"/>
    <cellStyle name="Normal 7 5 2 2 4" xfId="7444" xr:uid="{00000000-0005-0000-0000-0000F51C0000}"/>
    <cellStyle name="Normal 7 5 2 2 4 2" xfId="7445" xr:uid="{00000000-0005-0000-0000-0000F61C0000}"/>
    <cellStyle name="Normal 7 5 2 2 5" xfId="7446" xr:uid="{00000000-0005-0000-0000-0000F71C0000}"/>
    <cellStyle name="Normal 7 5 2 3" xfId="7447" xr:uid="{00000000-0005-0000-0000-0000F81C0000}"/>
    <cellStyle name="Normal 7 5 2 3 2" xfId="7448" xr:uid="{00000000-0005-0000-0000-0000F91C0000}"/>
    <cellStyle name="Normal 7 5 2 3 2 2" xfId="7449" xr:uid="{00000000-0005-0000-0000-0000FA1C0000}"/>
    <cellStyle name="Normal 7 5 2 3 3" xfId="7450" xr:uid="{00000000-0005-0000-0000-0000FB1C0000}"/>
    <cellStyle name="Normal 7 5 2 3 3 2" xfId="7451" xr:uid="{00000000-0005-0000-0000-0000FC1C0000}"/>
    <cellStyle name="Normal 7 5 2 3 4" xfId="7452" xr:uid="{00000000-0005-0000-0000-0000FD1C0000}"/>
    <cellStyle name="Normal 7 5 2 4" xfId="7453" xr:uid="{00000000-0005-0000-0000-0000FE1C0000}"/>
    <cellStyle name="Normal 7 5 2 4 2" xfId="7454" xr:uid="{00000000-0005-0000-0000-0000FF1C0000}"/>
    <cellStyle name="Normal 7 5 2 5" xfId="7455" xr:uid="{00000000-0005-0000-0000-0000001D0000}"/>
    <cellStyle name="Normal 7 5 2 5 2" xfId="7456" xr:uid="{00000000-0005-0000-0000-0000011D0000}"/>
    <cellStyle name="Normal 7 5 2 6" xfId="7457" xr:uid="{00000000-0005-0000-0000-0000021D0000}"/>
    <cellStyle name="Normal 7 5 3" xfId="7458" xr:uid="{00000000-0005-0000-0000-0000031D0000}"/>
    <cellStyle name="Normal 7 5 3 2" xfId="7459" xr:uid="{00000000-0005-0000-0000-0000041D0000}"/>
    <cellStyle name="Normal 7 5 3 2 2" xfId="7460" xr:uid="{00000000-0005-0000-0000-0000051D0000}"/>
    <cellStyle name="Normal 7 5 3 2 2 2" xfId="7461" xr:uid="{00000000-0005-0000-0000-0000061D0000}"/>
    <cellStyle name="Normal 7 5 3 2 3" xfId="7462" xr:uid="{00000000-0005-0000-0000-0000071D0000}"/>
    <cellStyle name="Normal 7 5 3 2 3 2" xfId="7463" xr:uid="{00000000-0005-0000-0000-0000081D0000}"/>
    <cellStyle name="Normal 7 5 3 2 4" xfId="7464" xr:uid="{00000000-0005-0000-0000-0000091D0000}"/>
    <cellStyle name="Normal 7 5 3 3" xfId="7465" xr:uid="{00000000-0005-0000-0000-00000A1D0000}"/>
    <cellStyle name="Normal 7 5 3 3 2" xfId="7466" xr:uid="{00000000-0005-0000-0000-00000B1D0000}"/>
    <cellStyle name="Normal 7 5 3 4" xfId="7467" xr:uid="{00000000-0005-0000-0000-00000C1D0000}"/>
    <cellStyle name="Normal 7 5 3 4 2" xfId="7468" xr:uid="{00000000-0005-0000-0000-00000D1D0000}"/>
    <cellStyle name="Normal 7 5 3 5" xfId="7469" xr:uid="{00000000-0005-0000-0000-00000E1D0000}"/>
    <cellStyle name="Normal 7 5 4" xfId="7470" xr:uid="{00000000-0005-0000-0000-00000F1D0000}"/>
    <cellStyle name="Normal 7 5 4 2" xfId="7471" xr:uid="{00000000-0005-0000-0000-0000101D0000}"/>
    <cellStyle name="Normal 7 5 4 2 2" xfId="7472" xr:uid="{00000000-0005-0000-0000-0000111D0000}"/>
    <cellStyle name="Normal 7 5 4 3" xfId="7473" xr:uid="{00000000-0005-0000-0000-0000121D0000}"/>
    <cellStyle name="Normal 7 5 4 3 2" xfId="7474" xr:uid="{00000000-0005-0000-0000-0000131D0000}"/>
    <cellStyle name="Normal 7 5 4 4" xfId="7475" xr:uid="{00000000-0005-0000-0000-0000141D0000}"/>
    <cellStyle name="Normal 7 5 5" xfId="7476" xr:uid="{00000000-0005-0000-0000-0000151D0000}"/>
    <cellStyle name="Normal 7 5 5 2" xfId="7477" xr:uid="{00000000-0005-0000-0000-0000161D0000}"/>
    <cellStyle name="Normal 7 5 6" xfId="7478" xr:uid="{00000000-0005-0000-0000-0000171D0000}"/>
    <cellStyle name="Normal 7 5 6 2" xfId="7479" xr:uid="{00000000-0005-0000-0000-0000181D0000}"/>
    <cellStyle name="Normal 7 5 7" xfId="7480" xr:uid="{00000000-0005-0000-0000-0000191D0000}"/>
    <cellStyle name="Normal 7 6" xfId="7481" xr:uid="{00000000-0005-0000-0000-00001A1D0000}"/>
    <cellStyle name="Normal 7 6 2" xfId="7482" xr:uid="{00000000-0005-0000-0000-00001B1D0000}"/>
    <cellStyle name="Normal 7 6 2 2" xfId="7483" xr:uid="{00000000-0005-0000-0000-00001C1D0000}"/>
    <cellStyle name="Normal 7 6 2 2 2" xfId="7484" xr:uid="{00000000-0005-0000-0000-00001D1D0000}"/>
    <cellStyle name="Normal 7 6 2 2 2 2" xfId="7485" xr:uid="{00000000-0005-0000-0000-00001E1D0000}"/>
    <cellStyle name="Normal 7 6 2 2 3" xfId="7486" xr:uid="{00000000-0005-0000-0000-00001F1D0000}"/>
    <cellStyle name="Normal 7 6 2 2 3 2" xfId="7487" xr:uid="{00000000-0005-0000-0000-0000201D0000}"/>
    <cellStyle name="Normal 7 6 2 2 4" xfId="7488" xr:uid="{00000000-0005-0000-0000-0000211D0000}"/>
    <cellStyle name="Normal 7 6 2 3" xfId="7489" xr:uid="{00000000-0005-0000-0000-0000221D0000}"/>
    <cellStyle name="Normal 7 6 2 3 2" xfId="7490" xr:uid="{00000000-0005-0000-0000-0000231D0000}"/>
    <cellStyle name="Normal 7 6 2 4" xfId="7491" xr:uid="{00000000-0005-0000-0000-0000241D0000}"/>
    <cellStyle name="Normal 7 6 2 4 2" xfId="7492" xr:uid="{00000000-0005-0000-0000-0000251D0000}"/>
    <cellStyle name="Normal 7 6 2 5" xfId="7493" xr:uid="{00000000-0005-0000-0000-0000261D0000}"/>
    <cellStyle name="Normal 7 6 3" xfId="7494" xr:uid="{00000000-0005-0000-0000-0000271D0000}"/>
    <cellStyle name="Normal 7 6 3 2" xfId="7495" xr:uid="{00000000-0005-0000-0000-0000281D0000}"/>
    <cellStyle name="Normal 7 6 3 2 2" xfId="7496" xr:uid="{00000000-0005-0000-0000-0000291D0000}"/>
    <cellStyle name="Normal 7 6 3 3" xfId="7497" xr:uid="{00000000-0005-0000-0000-00002A1D0000}"/>
    <cellStyle name="Normal 7 6 3 3 2" xfId="7498" xr:uid="{00000000-0005-0000-0000-00002B1D0000}"/>
    <cellStyle name="Normal 7 6 3 4" xfId="7499" xr:uid="{00000000-0005-0000-0000-00002C1D0000}"/>
    <cellStyle name="Normal 7 6 4" xfId="7500" xr:uid="{00000000-0005-0000-0000-00002D1D0000}"/>
    <cellStyle name="Normal 7 6 4 2" xfId="7501" xr:uid="{00000000-0005-0000-0000-00002E1D0000}"/>
    <cellStyle name="Normal 7 6 5" xfId="7502" xr:uid="{00000000-0005-0000-0000-00002F1D0000}"/>
    <cellStyle name="Normal 7 6 5 2" xfId="7503" xr:uid="{00000000-0005-0000-0000-0000301D0000}"/>
    <cellStyle name="Normal 7 6 6" xfId="7504" xr:uid="{00000000-0005-0000-0000-0000311D0000}"/>
    <cellStyle name="Normal 7 7" xfId="7505" xr:uid="{00000000-0005-0000-0000-0000321D0000}"/>
    <cellStyle name="Normal 7 7 2" xfId="7506" xr:uid="{00000000-0005-0000-0000-0000331D0000}"/>
    <cellStyle name="Normal 7 7 2 2" xfId="7507" xr:uid="{00000000-0005-0000-0000-0000341D0000}"/>
    <cellStyle name="Normal 7 7 2 2 2" xfId="7508" xr:uid="{00000000-0005-0000-0000-0000351D0000}"/>
    <cellStyle name="Normal 7 7 2 3" xfId="7509" xr:uid="{00000000-0005-0000-0000-0000361D0000}"/>
    <cellStyle name="Normal 7 7 2 3 2" xfId="7510" xr:uid="{00000000-0005-0000-0000-0000371D0000}"/>
    <cellStyle name="Normal 7 7 2 4" xfId="7511" xr:uid="{00000000-0005-0000-0000-0000381D0000}"/>
    <cellStyle name="Normal 7 7 3" xfId="7512" xr:uid="{00000000-0005-0000-0000-0000391D0000}"/>
    <cellStyle name="Normal 7 7 3 2" xfId="7513" xr:uid="{00000000-0005-0000-0000-00003A1D0000}"/>
    <cellStyle name="Normal 7 7 4" xfId="7514" xr:uid="{00000000-0005-0000-0000-00003B1D0000}"/>
    <cellStyle name="Normal 7 7 4 2" xfId="7515" xr:uid="{00000000-0005-0000-0000-00003C1D0000}"/>
    <cellStyle name="Normal 7 7 5" xfId="7516" xr:uid="{00000000-0005-0000-0000-00003D1D0000}"/>
    <cellStyle name="Normal 7 8" xfId="7517" xr:uid="{00000000-0005-0000-0000-00003E1D0000}"/>
    <cellStyle name="Normal 7 8 2" xfId="7518" xr:uid="{00000000-0005-0000-0000-00003F1D0000}"/>
    <cellStyle name="Normal 7 8 2 2" xfId="7519" xr:uid="{00000000-0005-0000-0000-0000401D0000}"/>
    <cellStyle name="Normal 7 8 3" xfId="7520" xr:uid="{00000000-0005-0000-0000-0000411D0000}"/>
    <cellStyle name="Normal 7 8 3 2" xfId="7521" xr:uid="{00000000-0005-0000-0000-0000421D0000}"/>
    <cellStyle name="Normal 7 8 4" xfId="7522" xr:uid="{00000000-0005-0000-0000-0000431D0000}"/>
    <cellStyle name="Normal 7 9" xfId="7523" xr:uid="{00000000-0005-0000-0000-0000441D0000}"/>
    <cellStyle name="Normal 7 9 2" xfId="7524" xr:uid="{00000000-0005-0000-0000-0000451D0000}"/>
    <cellStyle name="Normal 7_2180" xfId="7525" xr:uid="{00000000-0005-0000-0000-0000461D0000}"/>
    <cellStyle name="Normal 70" xfId="7526" xr:uid="{00000000-0005-0000-0000-0000471D0000}"/>
    <cellStyle name="Normal 70 2" xfId="7527" xr:uid="{00000000-0005-0000-0000-0000481D0000}"/>
    <cellStyle name="Normal 70 3" xfId="7528" xr:uid="{00000000-0005-0000-0000-0000491D0000}"/>
    <cellStyle name="Normal 71" xfId="7529" xr:uid="{00000000-0005-0000-0000-00004A1D0000}"/>
    <cellStyle name="Normal 72" xfId="7530" xr:uid="{00000000-0005-0000-0000-00004B1D0000}"/>
    <cellStyle name="Normal 72 2" xfId="7531" xr:uid="{00000000-0005-0000-0000-00004C1D0000}"/>
    <cellStyle name="Normal 72 2 2" xfId="7532" xr:uid="{00000000-0005-0000-0000-00004D1D0000}"/>
    <cellStyle name="Normal 72 2 2 2" xfId="7533" xr:uid="{00000000-0005-0000-0000-00004E1D0000}"/>
    <cellStyle name="Normal 72 2 2 2 2" xfId="7534" xr:uid="{00000000-0005-0000-0000-00004F1D0000}"/>
    <cellStyle name="Normal 72 2 2 3" xfId="7535" xr:uid="{00000000-0005-0000-0000-0000501D0000}"/>
    <cellStyle name="Normal 72 2 2 3 2" xfId="7536" xr:uid="{00000000-0005-0000-0000-0000511D0000}"/>
    <cellStyle name="Normal 72 2 2 4" xfId="7537" xr:uid="{00000000-0005-0000-0000-0000521D0000}"/>
    <cellStyle name="Normal 72 2 3" xfId="7538" xr:uid="{00000000-0005-0000-0000-0000531D0000}"/>
    <cellStyle name="Normal 72 2 3 2" xfId="7539" xr:uid="{00000000-0005-0000-0000-0000541D0000}"/>
    <cellStyle name="Normal 72 2 4" xfId="7540" xr:uid="{00000000-0005-0000-0000-0000551D0000}"/>
    <cellStyle name="Normal 72 2 4 2" xfId="7541" xr:uid="{00000000-0005-0000-0000-0000561D0000}"/>
    <cellStyle name="Normal 72 2 5" xfId="7542" xr:uid="{00000000-0005-0000-0000-0000571D0000}"/>
    <cellStyle name="Normal 72 3" xfId="7543" xr:uid="{00000000-0005-0000-0000-0000581D0000}"/>
    <cellStyle name="Normal 72 3 2" xfId="7544" xr:uid="{00000000-0005-0000-0000-0000591D0000}"/>
    <cellStyle name="Normal 72 3 2 2" xfId="7545" xr:uid="{00000000-0005-0000-0000-00005A1D0000}"/>
    <cellStyle name="Normal 72 3 3" xfId="7546" xr:uid="{00000000-0005-0000-0000-00005B1D0000}"/>
    <cellStyle name="Normal 72 3 3 2" xfId="7547" xr:uid="{00000000-0005-0000-0000-00005C1D0000}"/>
    <cellStyle name="Normal 72 3 4" xfId="7548" xr:uid="{00000000-0005-0000-0000-00005D1D0000}"/>
    <cellStyle name="Normal 72 4" xfId="7549" xr:uid="{00000000-0005-0000-0000-00005E1D0000}"/>
    <cellStyle name="Normal 72 4 2" xfId="7550" xr:uid="{00000000-0005-0000-0000-00005F1D0000}"/>
    <cellStyle name="Normal 72 5" xfId="7551" xr:uid="{00000000-0005-0000-0000-0000601D0000}"/>
    <cellStyle name="Normal 72 5 2" xfId="7552" xr:uid="{00000000-0005-0000-0000-0000611D0000}"/>
    <cellStyle name="Normal 72 6" xfId="7553" xr:uid="{00000000-0005-0000-0000-0000621D0000}"/>
    <cellStyle name="Normal 73" xfId="7554" xr:uid="{00000000-0005-0000-0000-0000631D0000}"/>
    <cellStyle name="Normal 73 2" xfId="7555" xr:uid="{00000000-0005-0000-0000-0000641D0000}"/>
    <cellStyle name="Normal 74" xfId="7556" xr:uid="{00000000-0005-0000-0000-0000651D0000}"/>
    <cellStyle name="Normal 75" xfId="7557" xr:uid="{00000000-0005-0000-0000-0000661D0000}"/>
    <cellStyle name="Normal 76" xfId="7558" xr:uid="{00000000-0005-0000-0000-0000671D0000}"/>
    <cellStyle name="Normal 77" xfId="7559" xr:uid="{00000000-0005-0000-0000-0000681D0000}"/>
    <cellStyle name="Normal 78" xfId="7560" xr:uid="{00000000-0005-0000-0000-0000691D0000}"/>
    <cellStyle name="Normal 79" xfId="7561" xr:uid="{00000000-0005-0000-0000-00006A1D0000}"/>
    <cellStyle name="Normal 8" xfId="104" xr:uid="{00000000-0005-0000-0000-00006B1D0000}"/>
    <cellStyle name="Normal 8 10" xfId="7563" xr:uid="{00000000-0005-0000-0000-00006C1D0000}"/>
    <cellStyle name="Normal 8 11" xfId="7562" xr:uid="{00000000-0005-0000-0000-00006D1D0000}"/>
    <cellStyle name="Normal 8 2" xfId="237" xr:uid="{00000000-0005-0000-0000-00006E1D0000}"/>
    <cellStyle name="Normal 8 2 10" xfId="7564" xr:uid="{00000000-0005-0000-0000-00006F1D0000}"/>
    <cellStyle name="Normal 8 2 2" xfId="7565" xr:uid="{00000000-0005-0000-0000-0000701D0000}"/>
    <cellStyle name="Normal 8 2 2 2" xfId="7566" xr:uid="{00000000-0005-0000-0000-0000711D0000}"/>
    <cellStyle name="Normal 8 2 2 2 2" xfId="7567" xr:uid="{00000000-0005-0000-0000-0000721D0000}"/>
    <cellStyle name="Normal 8 2 2 2 2 2" xfId="7568" xr:uid="{00000000-0005-0000-0000-0000731D0000}"/>
    <cellStyle name="Normal 8 2 2 2 2 2 2" xfId="7569" xr:uid="{00000000-0005-0000-0000-0000741D0000}"/>
    <cellStyle name="Normal 8 2 2 2 2 2 2 2" xfId="7570" xr:uid="{00000000-0005-0000-0000-0000751D0000}"/>
    <cellStyle name="Normal 8 2 2 2 2 2 3" xfId="7571" xr:uid="{00000000-0005-0000-0000-0000761D0000}"/>
    <cellStyle name="Normal 8 2 2 2 2 2 3 2" xfId="7572" xr:uid="{00000000-0005-0000-0000-0000771D0000}"/>
    <cellStyle name="Normal 8 2 2 2 2 2 4" xfId="7573" xr:uid="{00000000-0005-0000-0000-0000781D0000}"/>
    <cellStyle name="Normal 8 2 2 2 2 3" xfId="7574" xr:uid="{00000000-0005-0000-0000-0000791D0000}"/>
    <cellStyle name="Normal 8 2 2 2 2 3 2" xfId="7575" xr:uid="{00000000-0005-0000-0000-00007A1D0000}"/>
    <cellStyle name="Normal 8 2 2 2 2 4" xfId="7576" xr:uid="{00000000-0005-0000-0000-00007B1D0000}"/>
    <cellStyle name="Normal 8 2 2 2 2 4 2" xfId="7577" xr:uid="{00000000-0005-0000-0000-00007C1D0000}"/>
    <cellStyle name="Normal 8 2 2 2 2 5" xfId="7578" xr:uid="{00000000-0005-0000-0000-00007D1D0000}"/>
    <cellStyle name="Normal 8 2 2 2 3" xfId="7579" xr:uid="{00000000-0005-0000-0000-00007E1D0000}"/>
    <cellStyle name="Normal 8 2 2 2 3 2" xfId="7580" xr:uid="{00000000-0005-0000-0000-00007F1D0000}"/>
    <cellStyle name="Normal 8 2 2 2 3 2 2" xfId="7581" xr:uid="{00000000-0005-0000-0000-0000801D0000}"/>
    <cellStyle name="Normal 8 2 2 2 3 3" xfId="7582" xr:uid="{00000000-0005-0000-0000-0000811D0000}"/>
    <cellStyle name="Normal 8 2 2 2 3 3 2" xfId="7583" xr:uid="{00000000-0005-0000-0000-0000821D0000}"/>
    <cellStyle name="Normal 8 2 2 2 3 4" xfId="7584" xr:uid="{00000000-0005-0000-0000-0000831D0000}"/>
    <cellStyle name="Normal 8 2 2 2 4" xfId="7585" xr:uid="{00000000-0005-0000-0000-0000841D0000}"/>
    <cellStyle name="Normal 8 2 2 2 4 2" xfId="7586" xr:uid="{00000000-0005-0000-0000-0000851D0000}"/>
    <cellStyle name="Normal 8 2 2 2 5" xfId="7587" xr:uid="{00000000-0005-0000-0000-0000861D0000}"/>
    <cellStyle name="Normal 8 2 2 2 5 2" xfId="7588" xr:uid="{00000000-0005-0000-0000-0000871D0000}"/>
    <cellStyle name="Normal 8 2 2 2 6" xfId="7589" xr:uid="{00000000-0005-0000-0000-0000881D0000}"/>
    <cellStyle name="Normal 8 2 2 3" xfId="7590" xr:uid="{00000000-0005-0000-0000-0000891D0000}"/>
    <cellStyle name="Normal 8 2 2 3 2" xfId="7591" xr:uid="{00000000-0005-0000-0000-00008A1D0000}"/>
    <cellStyle name="Normal 8 2 2 3 2 2" xfId="7592" xr:uid="{00000000-0005-0000-0000-00008B1D0000}"/>
    <cellStyle name="Normal 8 2 2 3 2 2 2" xfId="7593" xr:uid="{00000000-0005-0000-0000-00008C1D0000}"/>
    <cellStyle name="Normal 8 2 2 3 2 3" xfId="7594" xr:uid="{00000000-0005-0000-0000-00008D1D0000}"/>
    <cellStyle name="Normal 8 2 2 3 2 3 2" xfId="7595" xr:uid="{00000000-0005-0000-0000-00008E1D0000}"/>
    <cellStyle name="Normal 8 2 2 3 2 4" xfId="7596" xr:uid="{00000000-0005-0000-0000-00008F1D0000}"/>
    <cellStyle name="Normal 8 2 2 3 3" xfId="7597" xr:uid="{00000000-0005-0000-0000-0000901D0000}"/>
    <cellStyle name="Normal 8 2 2 3 3 2" xfId="7598" xr:uid="{00000000-0005-0000-0000-0000911D0000}"/>
    <cellStyle name="Normal 8 2 2 3 4" xfId="7599" xr:uid="{00000000-0005-0000-0000-0000921D0000}"/>
    <cellStyle name="Normal 8 2 2 3 4 2" xfId="7600" xr:uid="{00000000-0005-0000-0000-0000931D0000}"/>
    <cellStyle name="Normal 8 2 2 3 5" xfId="7601" xr:uid="{00000000-0005-0000-0000-0000941D0000}"/>
    <cellStyle name="Normal 8 2 2 4" xfId="7602" xr:uid="{00000000-0005-0000-0000-0000951D0000}"/>
    <cellStyle name="Normal 8 2 2 4 2" xfId="7603" xr:uid="{00000000-0005-0000-0000-0000961D0000}"/>
    <cellStyle name="Normal 8 2 2 4 2 2" xfId="7604" xr:uid="{00000000-0005-0000-0000-0000971D0000}"/>
    <cellStyle name="Normal 8 2 2 4 3" xfId="7605" xr:uid="{00000000-0005-0000-0000-0000981D0000}"/>
    <cellStyle name="Normal 8 2 2 4 3 2" xfId="7606" xr:uid="{00000000-0005-0000-0000-0000991D0000}"/>
    <cellStyle name="Normal 8 2 2 4 4" xfId="7607" xr:uid="{00000000-0005-0000-0000-00009A1D0000}"/>
    <cellStyle name="Normal 8 2 2 5" xfId="7608" xr:uid="{00000000-0005-0000-0000-00009B1D0000}"/>
    <cellStyle name="Normal 8 2 2 5 2" xfId="7609" xr:uid="{00000000-0005-0000-0000-00009C1D0000}"/>
    <cellStyle name="Normal 8 2 2 6" xfId="7610" xr:uid="{00000000-0005-0000-0000-00009D1D0000}"/>
    <cellStyle name="Normal 8 2 2 6 2" xfId="7611" xr:uid="{00000000-0005-0000-0000-00009E1D0000}"/>
    <cellStyle name="Normal 8 2 2 7" xfId="7612" xr:uid="{00000000-0005-0000-0000-00009F1D0000}"/>
    <cellStyle name="Normal 8 2 3" xfId="7613" xr:uid="{00000000-0005-0000-0000-0000A01D0000}"/>
    <cellStyle name="Normal 8 2 3 2" xfId="7614" xr:uid="{00000000-0005-0000-0000-0000A11D0000}"/>
    <cellStyle name="Normal 8 2 3 2 2" xfId="7615" xr:uid="{00000000-0005-0000-0000-0000A21D0000}"/>
    <cellStyle name="Normal 8 2 3 2 2 2" xfId="7616" xr:uid="{00000000-0005-0000-0000-0000A31D0000}"/>
    <cellStyle name="Normal 8 2 3 2 2 2 2" xfId="7617" xr:uid="{00000000-0005-0000-0000-0000A41D0000}"/>
    <cellStyle name="Normal 8 2 3 2 2 3" xfId="7618" xr:uid="{00000000-0005-0000-0000-0000A51D0000}"/>
    <cellStyle name="Normal 8 2 3 2 2 3 2" xfId="7619" xr:uid="{00000000-0005-0000-0000-0000A61D0000}"/>
    <cellStyle name="Normal 8 2 3 2 2 4" xfId="7620" xr:uid="{00000000-0005-0000-0000-0000A71D0000}"/>
    <cellStyle name="Normal 8 2 3 2 3" xfId="7621" xr:uid="{00000000-0005-0000-0000-0000A81D0000}"/>
    <cellStyle name="Normal 8 2 3 2 3 2" xfId="7622" xr:uid="{00000000-0005-0000-0000-0000A91D0000}"/>
    <cellStyle name="Normal 8 2 3 2 4" xfId="7623" xr:uid="{00000000-0005-0000-0000-0000AA1D0000}"/>
    <cellStyle name="Normal 8 2 3 2 4 2" xfId="7624" xr:uid="{00000000-0005-0000-0000-0000AB1D0000}"/>
    <cellStyle name="Normal 8 2 3 2 5" xfId="7625" xr:uid="{00000000-0005-0000-0000-0000AC1D0000}"/>
    <cellStyle name="Normal 8 2 3 3" xfId="7626" xr:uid="{00000000-0005-0000-0000-0000AD1D0000}"/>
    <cellStyle name="Normal 8 2 3 3 2" xfId="7627" xr:uid="{00000000-0005-0000-0000-0000AE1D0000}"/>
    <cellStyle name="Normal 8 2 3 3 2 2" xfId="7628" xr:uid="{00000000-0005-0000-0000-0000AF1D0000}"/>
    <cellStyle name="Normal 8 2 3 3 3" xfId="7629" xr:uid="{00000000-0005-0000-0000-0000B01D0000}"/>
    <cellStyle name="Normal 8 2 3 3 3 2" xfId="7630" xr:uid="{00000000-0005-0000-0000-0000B11D0000}"/>
    <cellStyle name="Normal 8 2 3 3 4" xfId="7631" xr:uid="{00000000-0005-0000-0000-0000B21D0000}"/>
    <cellStyle name="Normal 8 2 3 4" xfId="7632" xr:uid="{00000000-0005-0000-0000-0000B31D0000}"/>
    <cellStyle name="Normal 8 2 3 4 2" xfId="7633" xr:uid="{00000000-0005-0000-0000-0000B41D0000}"/>
    <cellStyle name="Normal 8 2 3 5" xfId="7634" xr:uid="{00000000-0005-0000-0000-0000B51D0000}"/>
    <cellStyle name="Normal 8 2 3 5 2" xfId="7635" xr:uid="{00000000-0005-0000-0000-0000B61D0000}"/>
    <cellStyle name="Normal 8 2 3 6" xfId="7636" xr:uid="{00000000-0005-0000-0000-0000B71D0000}"/>
    <cellStyle name="Normal 8 2 4" xfId="7637" xr:uid="{00000000-0005-0000-0000-0000B81D0000}"/>
    <cellStyle name="Normal 8 2 4 2" xfId="7638" xr:uid="{00000000-0005-0000-0000-0000B91D0000}"/>
    <cellStyle name="Normal 8 2 4 2 2" xfId="7639" xr:uid="{00000000-0005-0000-0000-0000BA1D0000}"/>
    <cellStyle name="Normal 8 2 4 2 2 2" xfId="7640" xr:uid="{00000000-0005-0000-0000-0000BB1D0000}"/>
    <cellStyle name="Normal 8 2 4 2 3" xfId="7641" xr:uid="{00000000-0005-0000-0000-0000BC1D0000}"/>
    <cellStyle name="Normal 8 2 4 2 3 2" xfId="7642" xr:uid="{00000000-0005-0000-0000-0000BD1D0000}"/>
    <cellStyle name="Normal 8 2 4 2 4" xfId="7643" xr:uid="{00000000-0005-0000-0000-0000BE1D0000}"/>
    <cellStyle name="Normal 8 2 4 3" xfId="7644" xr:uid="{00000000-0005-0000-0000-0000BF1D0000}"/>
    <cellStyle name="Normal 8 2 4 3 2" xfId="7645" xr:uid="{00000000-0005-0000-0000-0000C01D0000}"/>
    <cellStyle name="Normal 8 2 4 4" xfId="7646" xr:uid="{00000000-0005-0000-0000-0000C11D0000}"/>
    <cellStyle name="Normal 8 2 4 4 2" xfId="7647" xr:uid="{00000000-0005-0000-0000-0000C21D0000}"/>
    <cellStyle name="Normal 8 2 4 5" xfId="7648" xr:uid="{00000000-0005-0000-0000-0000C31D0000}"/>
    <cellStyle name="Normal 8 2 5" xfId="7649" xr:uid="{00000000-0005-0000-0000-0000C41D0000}"/>
    <cellStyle name="Normal 8 2 5 2" xfId="7650" xr:uid="{00000000-0005-0000-0000-0000C51D0000}"/>
    <cellStyle name="Normal 8 2 5 2 2" xfId="7651" xr:uid="{00000000-0005-0000-0000-0000C61D0000}"/>
    <cellStyle name="Normal 8 2 5 3" xfId="7652" xr:uid="{00000000-0005-0000-0000-0000C71D0000}"/>
    <cellStyle name="Normal 8 2 5 3 2" xfId="7653" xr:uid="{00000000-0005-0000-0000-0000C81D0000}"/>
    <cellStyle name="Normal 8 2 5 4" xfId="7654" xr:uid="{00000000-0005-0000-0000-0000C91D0000}"/>
    <cellStyle name="Normal 8 2 6" xfId="7655" xr:uid="{00000000-0005-0000-0000-0000CA1D0000}"/>
    <cellStyle name="Normal 8 2 6 2" xfId="7656" xr:uid="{00000000-0005-0000-0000-0000CB1D0000}"/>
    <cellStyle name="Normal 8 2 7" xfId="7657" xr:uid="{00000000-0005-0000-0000-0000CC1D0000}"/>
    <cellStyle name="Normal 8 2 7 2" xfId="7658" xr:uid="{00000000-0005-0000-0000-0000CD1D0000}"/>
    <cellStyle name="Normal 8 2 8" xfId="7659" xr:uid="{00000000-0005-0000-0000-0000CE1D0000}"/>
    <cellStyle name="Normal 8 2 9" xfId="7660" xr:uid="{00000000-0005-0000-0000-0000CF1D0000}"/>
    <cellStyle name="Normal 8 3" xfId="7661" xr:uid="{00000000-0005-0000-0000-0000D01D0000}"/>
    <cellStyle name="Normal 8 3 2" xfId="7662" xr:uid="{00000000-0005-0000-0000-0000D11D0000}"/>
    <cellStyle name="Normal 8 3 2 2" xfId="7663" xr:uid="{00000000-0005-0000-0000-0000D21D0000}"/>
    <cellStyle name="Normal 8 3 2 2 2" xfId="7664" xr:uid="{00000000-0005-0000-0000-0000D31D0000}"/>
    <cellStyle name="Normal 8 3 2 2 2 2" xfId="7665" xr:uid="{00000000-0005-0000-0000-0000D41D0000}"/>
    <cellStyle name="Normal 8 3 2 2 2 2 2" xfId="7666" xr:uid="{00000000-0005-0000-0000-0000D51D0000}"/>
    <cellStyle name="Normal 8 3 2 2 2 3" xfId="7667" xr:uid="{00000000-0005-0000-0000-0000D61D0000}"/>
    <cellStyle name="Normal 8 3 2 2 2 3 2" xfId="7668" xr:uid="{00000000-0005-0000-0000-0000D71D0000}"/>
    <cellStyle name="Normal 8 3 2 2 2 4" xfId="7669" xr:uid="{00000000-0005-0000-0000-0000D81D0000}"/>
    <cellStyle name="Normal 8 3 2 2 3" xfId="7670" xr:uid="{00000000-0005-0000-0000-0000D91D0000}"/>
    <cellStyle name="Normal 8 3 2 2 3 2" xfId="7671" xr:uid="{00000000-0005-0000-0000-0000DA1D0000}"/>
    <cellStyle name="Normal 8 3 2 2 4" xfId="7672" xr:uid="{00000000-0005-0000-0000-0000DB1D0000}"/>
    <cellStyle name="Normal 8 3 2 2 4 2" xfId="7673" xr:uid="{00000000-0005-0000-0000-0000DC1D0000}"/>
    <cellStyle name="Normal 8 3 2 2 5" xfId="7674" xr:uid="{00000000-0005-0000-0000-0000DD1D0000}"/>
    <cellStyle name="Normal 8 3 2 3" xfId="7675" xr:uid="{00000000-0005-0000-0000-0000DE1D0000}"/>
    <cellStyle name="Normal 8 3 2 3 2" xfId="7676" xr:uid="{00000000-0005-0000-0000-0000DF1D0000}"/>
    <cellStyle name="Normal 8 3 2 3 2 2" xfId="7677" xr:uid="{00000000-0005-0000-0000-0000E01D0000}"/>
    <cellStyle name="Normal 8 3 2 3 3" xfId="7678" xr:uid="{00000000-0005-0000-0000-0000E11D0000}"/>
    <cellStyle name="Normal 8 3 2 3 3 2" xfId="7679" xr:uid="{00000000-0005-0000-0000-0000E21D0000}"/>
    <cellStyle name="Normal 8 3 2 3 4" xfId="7680" xr:uid="{00000000-0005-0000-0000-0000E31D0000}"/>
    <cellStyle name="Normal 8 3 2 4" xfId="7681" xr:uid="{00000000-0005-0000-0000-0000E41D0000}"/>
    <cellStyle name="Normal 8 3 2 4 2" xfId="7682" xr:uid="{00000000-0005-0000-0000-0000E51D0000}"/>
    <cellStyle name="Normal 8 3 2 5" xfId="7683" xr:uid="{00000000-0005-0000-0000-0000E61D0000}"/>
    <cellStyle name="Normal 8 3 2 5 2" xfId="7684" xr:uid="{00000000-0005-0000-0000-0000E71D0000}"/>
    <cellStyle name="Normal 8 3 2 6" xfId="7685" xr:uid="{00000000-0005-0000-0000-0000E81D0000}"/>
    <cellStyle name="Normal 8 3 3" xfId="7686" xr:uid="{00000000-0005-0000-0000-0000E91D0000}"/>
    <cellStyle name="Normal 8 3 3 2" xfId="7687" xr:uid="{00000000-0005-0000-0000-0000EA1D0000}"/>
    <cellStyle name="Normal 8 3 3 2 2" xfId="7688" xr:uid="{00000000-0005-0000-0000-0000EB1D0000}"/>
    <cellStyle name="Normal 8 3 3 2 2 2" xfId="7689" xr:uid="{00000000-0005-0000-0000-0000EC1D0000}"/>
    <cellStyle name="Normal 8 3 3 2 3" xfId="7690" xr:uid="{00000000-0005-0000-0000-0000ED1D0000}"/>
    <cellStyle name="Normal 8 3 3 2 3 2" xfId="7691" xr:uid="{00000000-0005-0000-0000-0000EE1D0000}"/>
    <cellStyle name="Normal 8 3 3 2 4" xfId="7692" xr:uid="{00000000-0005-0000-0000-0000EF1D0000}"/>
    <cellStyle name="Normal 8 3 3 3" xfId="7693" xr:uid="{00000000-0005-0000-0000-0000F01D0000}"/>
    <cellStyle name="Normal 8 3 3 3 2" xfId="7694" xr:uid="{00000000-0005-0000-0000-0000F11D0000}"/>
    <cellStyle name="Normal 8 3 3 4" xfId="7695" xr:uid="{00000000-0005-0000-0000-0000F21D0000}"/>
    <cellStyle name="Normal 8 3 3 4 2" xfId="7696" xr:uid="{00000000-0005-0000-0000-0000F31D0000}"/>
    <cellStyle name="Normal 8 3 3 5" xfId="7697" xr:uid="{00000000-0005-0000-0000-0000F41D0000}"/>
    <cellStyle name="Normal 8 3 4" xfId="7698" xr:uid="{00000000-0005-0000-0000-0000F51D0000}"/>
    <cellStyle name="Normal 8 3 4 2" xfId="7699" xr:uid="{00000000-0005-0000-0000-0000F61D0000}"/>
    <cellStyle name="Normal 8 3 4 2 2" xfId="7700" xr:uid="{00000000-0005-0000-0000-0000F71D0000}"/>
    <cellStyle name="Normal 8 3 4 3" xfId="7701" xr:uid="{00000000-0005-0000-0000-0000F81D0000}"/>
    <cellStyle name="Normal 8 3 4 3 2" xfId="7702" xr:uid="{00000000-0005-0000-0000-0000F91D0000}"/>
    <cellStyle name="Normal 8 3 4 4" xfId="7703" xr:uid="{00000000-0005-0000-0000-0000FA1D0000}"/>
    <cellStyle name="Normal 8 3 5" xfId="7704" xr:uid="{00000000-0005-0000-0000-0000FB1D0000}"/>
    <cellStyle name="Normal 8 3 5 2" xfId="7705" xr:uid="{00000000-0005-0000-0000-0000FC1D0000}"/>
    <cellStyle name="Normal 8 3 6" xfId="7706" xr:uid="{00000000-0005-0000-0000-0000FD1D0000}"/>
    <cellStyle name="Normal 8 3 6 2" xfId="7707" xr:uid="{00000000-0005-0000-0000-0000FE1D0000}"/>
    <cellStyle name="Normal 8 3 7" xfId="7708" xr:uid="{00000000-0005-0000-0000-0000FF1D0000}"/>
    <cellStyle name="Normal 8 4" xfId="7709" xr:uid="{00000000-0005-0000-0000-0000001E0000}"/>
    <cellStyle name="Normal 8 4 2" xfId="7710" xr:uid="{00000000-0005-0000-0000-0000011E0000}"/>
    <cellStyle name="Normal 8 4 2 2" xfId="7711" xr:uid="{00000000-0005-0000-0000-0000021E0000}"/>
    <cellStyle name="Normal 8 4 2 2 2" xfId="7712" xr:uid="{00000000-0005-0000-0000-0000031E0000}"/>
    <cellStyle name="Normal 8 4 2 2 2 2" xfId="7713" xr:uid="{00000000-0005-0000-0000-0000041E0000}"/>
    <cellStyle name="Normal 8 4 2 2 2 2 2" xfId="7714" xr:uid="{00000000-0005-0000-0000-0000051E0000}"/>
    <cellStyle name="Normal 8 4 2 2 2 3" xfId="7715" xr:uid="{00000000-0005-0000-0000-0000061E0000}"/>
    <cellStyle name="Normal 8 4 2 2 2 3 2" xfId="7716" xr:uid="{00000000-0005-0000-0000-0000071E0000}"/>
    <cellStyle name="Normal 8 4 2 2 2 4" xfId="7717" xr:uid="{00000000-0005-0000-0000-0000081E0000}"/>
    <cellStyle name="Normal 8 4 2 2 3" xfId="7718" xr:uid="{00000000-0005-0000-0000-0000091E0000}"/>
    <cellStyle name="Normal 8 4 2 2 3 2" xfId="7719" xr:uid="{00000000-0005-0000-0000-00000A1E0000}"/>
    <cellStyle name="Normal 8 4 2 2 4" xfId="7720" xr:uid="{00000000-0005-0000-0000-00000B1E0000}"/>
    <cellStyle name="Normal 8 4 2 2 4 2" xfId="7721" xr:uid="{00000000-0005-0000-0000-00000C1E0000}"/>
    <cellStyle name="Normal 8 4 2 2 5" xfId="7722" xr:uid="{00000000-0005-0000-0000-00000D1E0000}"/>
    <cellStyle name="Normal 8 4 2 3" xfId="7723" xr:uid="{00000000-0005-0000-0000-00000E1E0000}"/>
    <cellStyle name="Normal 8 4 2 3 2" xfId="7724" xr:uid="{00000000-0005-0000-0000-00000F1E0000}"/>
    <cellStyle name="Normal 8 4 2 3 2 2" xfId="7725" xr:uid="{00000000-0005-0000-0000-0000101E0000}"/>
    <cellStyle name="Normal 8 4 2 3 3" xfId="7726" xr:uid="{00000000-0005-0000-0000-0000111E0000}"/>
    <cellStyle name="Normal 8 4 2 3 3 2" xfId="7727" xr:uid="{00000000-0005-0000-0000-0000121E0000}"/>
    <cellStyle name="Normal 8 4 2 3 4" xfId="7728" xr:uid="{00000000-0005-0000-0000-0000131E0000}"/>
    <cellStyle name="Normal 8 4 2 4" xfId="7729" xr:uid="{00000000-0005-0000-0000-0000141E0000}"/>
    <cellStyle name="Normal 8 4 2 4 2" xfId="7730" xr:uid="{00000000-0005-0000-0000-0000151E0000}"/>
    <cellStyle name="Normal 8 4 2 5" xfId="7731" xr:uid="{00000000-0005-0000-0000-0000161E0000}"/>
    <cellStyle name="Normal 8 4 2 5 2" xfId="7732" xr:uid="{00000000-0005-0000-0000-0000171E0000}"/>
    <cellStyle name="Normal 8 4 2 6" xfId="7733" xr:uid="{00000000-0005-0000-0000-0000181E0000}"/>
    <cellStyle name="Normal 8 4 3" xfId="7734" xr:uid="{00000000-0005-0000-0000-0000191E0000}"/>
    <cellStyle name="Normal 8 4 3 2" xfId="7735" xr:uid="{00000000-0005-0000-0000-00001A1E0000}"/>
    <cellStyle name="Normal 8 4 3 2 2" xfId="7736" xr:uid="{00000000-0005-0000-0000-00001B1E0000}"/>
    <cellStyle name="Normal 8 4 3 2 2 2" xfId="7737" xr:uid="{00000000-0005-0000-0000-00001C1E0000}"/>
    <cellStyle name="Normal 8 4 3 2 3" xfId="7738" xr:uid="{00000000-0005-0000-0000-00001D1E0000}"/>
    <cellStyle name="Normal 8 4 3 2 3 2" xfId="7739" xr:uid="{00000000-0005-0000-0000-00001E1E0000}"/>
    <cellStyle name="Normal 8 4 3 2 4" xfId="7740" xr:uid="{00000000-0005-0000-0000-00001F1E0000}"/>
    <cellStyle name="Normal 8 4 3 3" xfId="7741" xr:uid="{00000000-0005-0000-0000-0000201E0000}"/>
    <cellStyle name="Normal 8 4 3 3 2" xfId="7742" xr:uid="{00000000-0005-0000-0000-0000211E0000}"/>
    <cellStyle name="Normal 8 4 3 4" xfId="7743" xr:uid="{00000000-0005-0000-0000-0000221E0000}"/>
    <cellStyle name="Normal 8 4 3 4 2" xfId="7744" xr:uid="{00000000-0005-0000-0000-0000231E0000}"/>
    <cellStyle name="Normal 8 4 3 5" xfId="7745" xr:uid="{00000000-0005-0000-0000-0000241E0000}"/>
    <cellStyle name="Normal 8 4 4" xfId="7746" xr:uid="{00000000-0005-0000-0000-0000251E0000}"/>
    <cellStyle name="Normal 8 4 4 2" xfId="7747" xr:uid="{00000000-0005-0000-0000-0000261E0000}"/>
    <cellStyle name="Normal 8 4 4 2 2" xfId="7748" xr:uid="{00000000-0005-0000-0000-0000271E0000}"/>
    <cellStyle name="Normal 8 4 4 3" xfId="7749" xr:uid="{00000000-0005-0000-0000-0000281E0000}"/>
    <cellStyle name="Normal 8 4 4 3 2" xfId="7750" xr:uid="{00000000-0005-0000-0000-0000291E0000}"/>
    <cellStyle name="Normal 8 4 4 4" xfId="7751" xr:uid="{00000000-0005-0000-0000-00002A1E0000}"/>
    <cellStyle name="Normal 8 4 5" xfId="7752" xr:uid="{00000000-0005-0000-0000-00002B1E0000}"/>
    <cellStyle name="Normal 8 4 5 2" xfId="7753" xr:uid="{00000000-0005-0000-0000-00002C1E0000}"/>
    <cellStyle name="Normal 8 4 6" xfId="7754" xr:uid="{00000000-0005-0000-0000-00002D1E0000}"/>
    <cellStyle name="Normal 8 4 6 2" xfId="7755" xr:uid="{00000000-0005-0000-0000-00002E1E0000}"/>
    <cellStyle name="Normal 8 4 7" xfId="7756" xr:uid="{00000000-0005-0000-0000-00002F1E0000}"/>
    <cellStyle name="Normal 8 5" xfId="7757" xr:uid="{00000000-0005-0000-0000-0000301E0000}"/>
    <cellStyle name="Normal 8 5 2" xfId="7758" xr:uid="{00000000-0005-0000-0000-0000311E0000}"/>
    <cellStyle name="Normal 8 5 2 2" xfId="7759" xr:uid="{00000000-0005-0000-0000-0000321E0000}"/>
    <cellStyle name="Normal 8 5 2 2 2" xfId="7760" xr:uid="{00000000-0005-0000-0000-0000331E0000}"/>
    <cellStyle name="Normal 8 5 2 2 2 2" xfId="7761" xr:uid="{00000000-0005-0000-0000-0000341E0000}"/>
    <cellStyle name="Normal 8 5 2 2 3" xfId="7762" xr:uid="{00000000-0005-0000-0000-0000351E0000}"/>
    <cellStyle name="Normal 8 5 2 2 3 2" xfId="7763" xr:uid="{00000000-0005-0000-0000-0000361E0000}"/>
    <cellStyle name="Normal 8 5 2 2 4" xfId="7764" xr:uid="{00000000-0005-0000-0000-0000371E0000}"/>
    <cellStyle name="Normal 8 5 2 3" xfId="7765" xr:uid="{00000000-0005-0000-0000-0000381E0000}"/>
    <cellStyle name="Normal 8 5 2 3 2" xfId="7766" xr:uid="{00000000-0005-0000-0000-0000391E0000}"/>
    <cellStyle name="Normal 8 5 2 4" xfId="7767" xr:uid="{00000000-0005-0000-0000-00003A1E0000}"/>
    <cellStyle name="Normal 8 5 2 4 2" xfId="7768" xr:uid="{00000000-0005-0000-0000-00003B1E0000}"/>
    <cellStyle name="Normal 8 5 2 5" xfId="7769" xr:uid="{00000000-0005-0000-0000-00003C1E0000}"/>
    <cellStyle name="Normal 8 5 3" xfId="7770" xr:uid="{00000000-0005-0000-0000-00003D1E0000}"/>
    <cellStyle name="Normal 8 5 3 2" xfId="7771" xr:uid="{00000000-0005-0000-0000-00003E1E0000}"/>
    <cellStyle name="Normal 8 5 3 2 2" xfId="7772" xr:uid="{00000000-0005-0000-0000-00003F1E0000}"/>
    <cellStyle name="Normal 8 5 3 3" xfId="7773" xr:uid="{00000000-0005-0000-0000-0000401E0000}"/>
    <cellStyle name="Normal 8 5 3 3 2" xfId="7774" xr:uid="{00000000-0005-0000-0000-0000411E0000}"/>
    <cellStyle name="Normal 8 5 3 4" xfId="7775" xr:uid="{00000000-0005-0000-0000-0000421E0000}"/>
    <cellStyle name="Normal 8 5 4" xfId="7776" xr:uid="{00000000-0005-0000-0000-0000431E0000}"/>
    <cellStyle name="Normal 8 5 4 2" xfId="7777" xr:uid="{00000000-0005-0000-0000-0000441E0000}"/>
    <cellStyle name="Normal 8 5 5" xfId="7778" xr:uid="{00000000-0005-0000-0000-0000451E0000}"/>
    <cellStyle name="Normal 8 5 5 2" xfId="7779" xr:uid="{00000000-0005-0000-0000-0000461E0000}"/>
    <cellStyle name="Normal 8 5 6" xfId="7780" xr:uid="{00000000-0005-0000-0000-0000471E0000}"/>
    <cellStyle name="Normal 8 6" xfId="7781" xr:uid="{00000000-0005-0000-0000-0000481E0000}"/>
    <cellStyle name="Normal 8 6 2" xfId="7782" xr:uid="{00000000-0005-0000-0000-0000491E0000}"/>
    <cellStyle name="Normal 8 6 2 2" xfId="7783" xr:uid="{00000000-0005-0000-0000-00004A1E0000}"/>
    <cellStyle name="Normal 8 6 2 2 2" xfId="7784" xr:uid="{00000000-0005-0000-0000-00004B1E0000}"/>
    <cellStyle name="Normal 8 6 2 3" xfId="7785" xr:uid="{00000000-0005-0000-0000-00004C1E0000}"/>
    <cellStyle name="Normal 8 6 2 3 2" xfId="7786" xr:uid="{00000000-0005-0000-0000-00004D1E0000}"/>
    <cellStyle name="Normal 8 6 2 4" xfId="7787" xr:uid="{00000000-0005-0000-0000-00004E1E0000}"/>
    <cellStyle name="Normal 8 6 3" xfId="7788" xr:uid="{00000000-0005-0000-0000-00004F1E0000}"/>
    <cellStyle name="Normal 8 6 3 2" xfId="7789" xr:uid="{00000000-0005-0000-0000-0000501E0000}"/>
    <cellStyle name="Normal 8 6 4" xfId="7790" xr:uid="{00000000-0005-0000-0000-0000511E0000}"/>
    <cellStyle name="Normal 8 6 4 2" xfId="7791" xr:uid="{00000000-0005-0000-0000-0000521E0000}"/>
    <cellStyle name="Normal 8 6 5" xfId="7792" xr:uid="{00000000-0005-0000-0000-0000531E0000}"/>
    <cellStyle name="Normal 8 7" xfId="7793" xr:uid="{00000000-0005-0000-0000-0000541E0000}"/>
    <cellStyle name="Normal 8 7 2" xfId="7794" xr:uid="{00000000-0005-0000-0000-0000551E0000}"/>
    <cellStyle name="Normal 8 7 2 2" xfId="7795" xr:uid="{00000000-0005-0000-0000-0000561E0000}"/>
    <cellStyle name="Normal 8 7 3" xfId="7796" xr:uid="{00000000-0005-0000-0000-0000571E0000}"/>
    <cellStyle name="Normal 8 7 3 2" xfId="7797" xr:uid="{00000000-0005-0000-0000-0000581E0000}"/>
    <cellStyle name="Normal 8 7 4" xfId="7798" xr:uid="{00000000-0005-0000-0000-0000591E0000}"/>
    <cellStyle name="Normal 8 8" xfId="7799" xr:uid="{00000000-0005-0000-0000-00005A1E0000}"/>
    <cellStyle name="Normal 8 8 2" xfId="7800" xr:uid="{00000000-0005-0000-0000-00005B1E0000}"/>
    <cellStyle name="Normal 8 9" xfId="7801" xr:uid="{00000000-0005-0000-0000-00005C1E0000}"/>
    <cellStyle name="Normal 8 9 2" xfId="7802" xr:uid="{00000000-0005-0000-0000-00005D1E0000}"/>
    <cellStyle name="Normal 8_2180" xfId="7803" xr:uid="{00000000-0005-0000-0000-00005E1E0000}"/>
    <cellStyle name="Normal 80" xfId="7804" xr:uid="{00000000-0005-0000-0000-00005F1E0000}"/>
    <cellStyle name="Normal 81" xfId="7805" xr:uid="{00000000-0005-0000-0000-0000601E0000}"/>
    <cellStyle name="Normal 81 2" xfId="7806" xr:uid="{00000000-0005-0000-0000-0000611E0000}"/>
    <cellStyle name="Normal 81 2 2" xfId="7807" xr:uid="{00000000-0005-0000-0000-0000621E0000}"/>
    <cellStyle name="Normal 81 2 2 2" xfId="7808" xr:uid="{00000000-0005-0000-0000-0000631E0000}"/>
    <cellStyle name="Normal 81 2 3" xfId="7809" xr:uid="{00000000-0005-0000-0000-0000641E0000}"/>
    <cellStyle name="Normal 81 2 3 2" xfId="7810" xr:uid="{00000000-0005-0000-0000-0000651E0000}"/>
    <cellStyle name="Normal 81 2 4" xfId="7811" xr:uid="{00000000-0005-0000-0000-0000661E0000}"/>
    <cellStyle name="Normal 81 3" xfId="7812" xr:uid="{00000000-0005-0000-0000-0000671E0000}"/>
    <cellStyle name="Normal 81 3 2" xfId="7813" xr:uid="{00000000-0005-0000-0000-0000681E0000}"/>
    <cellStyle name="Normal 81 4" xfId="7814" xr:uid="{00000000-0005-0000-0000-0000691E0000}"/>
    <cellStyle name="Normal 81 4 2" xfId="7815" xr:uid="{00000000-0005-0000-0000-00006A1E0000}"/>
    <cellStyle name="Normal 81 5" xfId="7816" xr:uid="{00000000-0005-0000-0000-00006B1E0000}"/>
    <cellStyle name="Normal 82" xfId="7817" xr:uid="{00000000-0005-0000-0000-00006C1E0000}"/>
    <cellStyle name="Normal 82 2" xfId="7818" xr:uid="{00000000-0005-0000-0000-00006D1E0000}"/>
    <cellStyle name="Normal 82 2 2" xfId="7819" xr:uid="{00000000-0005-0000-0000-00006E1E0000}"/>
    <cellStyle name="Normal 82 2 2 2" xfId="7820" xr:uid="{00000000-0005-0000-0000-00006F1E0000}"/>
    <cellStyle name="Normal 82 2 3" xfId="7821" xr:uid="{00000000-0005-0000-0000-0000701E0000}"/>
    <cellStyle name="Normal 82 2 3 2" xfId="7822" xr:uid="{00000000-0005-0000-0000-0000711E0000}"/>
    <cellStyle name="Normal 82 2 4" xfId="7823" xr:uid="{00000000-0005-0000-0000-0000721E0000}"/>
    <cellStyle name="Normal 82 3" xfId="7824" xr:uid="{00000000-0005-0000-0000-0000731E0000}"/>
    <cellStyle name="Normal 82 3 2" xfId="7825" xr:uid="{00000000-0005-0000-0000-0000741E0000}"/>
    <cellStyle name="Normal 82 4" xfId="7826" xr:uid="{00000000-0005-0000-0000-0000751E0000}"/>
    <cellStyle name="Normal 82 4 2" xfId="7827" xr:uid="{00000000-0005-0000-0000-0000761E0000}"/>
    <cellStyle name="Normal 82 5" xfId="7828" xr:uid="{00000000-0005-0000-0000-0000771E0000}"/>
    <cellStyle name="Normal 83" xfId="7829" xr:uid="{00000000-0005-0000-0000-0000781E0000}"/>
    <cellStyle name="Normal 84" xfId="7830" xr:uid="{00000000-0005-0000-0000-0000791E0000}"/>
    <cellStyle name="Normal 84 2" xfId="7831" xr:uid="{00000000-0005-0000-0000-00007A1E0000}"/>
    <cellStyle name="Normal 84 2 2" xfId="7832" xr:uid="{00000000-0005-0000-0000-00007B1E0000}"/>
    <cellStyle name="Normal 84 2 2 2" xfId="7833" xr:uid="{00000000-0005-0000-0000-00007C1E0000}"/>
    <cellStyle name="Normal 84 2 3" xfId="7834" xr:uid="{00000000-0005-0000-0000-00007D1E0000}"/>
    <cellStyle name="Normal 84 2 3 2" xfId="7835" xr:uid="{00000000-0005-0000-0000-00007E1E0000}"/>
    <cellStyle name="Normal 84 2 4" xfId="7836" xr:uid="{00000000-0005-0000-0000-00007F1E0000}"/>
    <cellStyle name="Normal 84 3" xfId="7837" xr:uid="{00000000-0005-0000-0000-0000801E0000}"/>
    <cellStyle name="Normal 84 3 2" xfId="7838" xr:uid="{00000000-0005-0000-0000-0000811E0000}"/>
    <cellStyle name="Normal 84 4" xfId="7839" xr:uid="{00000000-0005-0000-0000-0000821E0000}"/>
    <cellStyle name="Normal 84 4 2" xfId="7840" xr:uid="{00000000-0005-0000-0000-0000831E0000}"/>
    <cellStyle name="Normal 84 5" xfId="7841" xr:uid="{00000000-0005-0000-0000-0000841E0000}"/>
    <cellStyle name="Normal 85" xfId="7842" xr:uid="{00000000-0005-0000-0000-0000851E0000}"/>
    <cellStyle name="Normal 85 2" xfId="7843" xr:uid="{00000000-0005-0000-0000-0000861E0000}"/>
    <cellStyle name="Normal 85 2 2" xfId="7844" xr:uid="{00000000-0005-0000-0000-0000871E0000}"/>
    <cellStyle name="Normal 85 3" xfId="7845" xr:uid="{00000000-0005-0000-0000-0000881E0000}"/>
    <cellStyle name="Normal 85 3 2" xfId="7846" xr:uid="{00000000-0005-0000-0000-0000891E0000}"/>
    <cellStyle name="Normal 85 4" xfId="7847" xr:uid="{00000000-0005-0000-0000-00008A1E0000}"/>
    <cellStyle name="Normal 86" xfId="7848" xr:uid="{00000000-0005-0000-0000-00008B1E0000}"/>
    <cellStyle name="Normal 86 2" xfId="7849" xr:uid="{00000000-0005-0000-0000-00008C1E0000}"/>
    <cellStyle name="Normal 86 3" xfId="7850" xr:uid="{00000000-0005-0000-0000-00008D1E0000}"/>
    <cellStyle name="Normal 87" xfId="7851" xr:uid="{00000000-0005-0000-0000-00008E1E0000}"/>
    <cellStyle name="Normal 87 2" xfId="7852" xr:uid="{00000000-0005-0000-0000-00008F1E0000}"/>
    <cellStyle name="Normal 88" xfId="7853" xr:uid="{00000000-0005-0000-0000-0000901E0000}"/>
    <cellStyle name="Normal 88 2" xfId="7854" xr:uid="{00000000-0005-0000-0000-0000911E0000}"/>
    <cellStyle name="Normal 89" xfId="7855" xr:uid="{00000000-0005-0000-0000-0000921E0000}"/>
    <cellStyle name="Normal 9" xfId="105" xr:uid="{00000000-0005-0000-0000-0000931E0000}"/>
    <cellStyle name="Normal 9 10" xfId="7857" xr:uid="{00000000-0005-0000-0000-0000941E0000}"/>
    <cellStyle name="Normal 9 11" xfId="7858" xr:uid="{00000000-0005-0000-0000-0000951E0000}"/>
    <cellStyle name="Normal 9 12" xfId="7859" xr:uid="{00000000-0005-0000-0000-0000961E0000}"/>
    <cellStyle name="Normal 9 13" xfId="7860" xr:uid="{00000000-0005-0000-0000-0000971E0000}"/>
    <cellStyle name="Normal 9 14" xfId="7856" xr:uid="{00000000-0005-0000-0000-0000981E0000}"/>
    <cellStyle name="Normal 9 2" xfId="238" xr:uid="{00000000-0005-0000-0000-0000991E0000}"/>
    <cellStyle name="Normal 9 2 10" xfId="7862" xr:uid="{00000000-0005-0000-0000-00009A1E0000}"/>
    <cellStyle name="Normal 9 2 11" xfId="7863" xr:uid="{00000000-0005-0000-0000-00009B1E0000}"/>
    <cellStyle name="Normal 9 2 12" xfId="7864" xr:uid="{00000000-0005-0000-0000-00009C1E0000}"/>
    <cellStyle name="Normal 9 2 13" xfId="7861" xr:uid="{00000000-0005-0000-0000-00009D1E0000}"/>
    <cellStyle name="Normal 9 2 2" xfId="7865" xr:uid="{00000000-0005-0000-0000-00009E1E0000}"/>
    <cellStyle name="Normal 9 2 2 2" xfId="7866" xr:uid="{00000000-0005-0000-0000-00009F1E0000}"/>
    <cellStyle name="Normal 9 2 2 2 2" xfId="7867" xr:uid="{00000000-0005-0000-0000-0000A01E0000}"/>
    <cellStyle name="Normal 9 2 2 2 2 2" xfId="7868" xr:uid="{00000000-0005-0000-0000-0000A11E0000}"/>
    <cellStyle name="Normal 9 2 2 2 2 2 2" xfId="7869" xr:uid="{00000000-0005-0000-0000-0000A21E0000}"/>
    <cellStyle name="Normal 9 2 2 2 2 2 2 2" xfId="7870" xr:uid="{00000000-0005-0000-0000-0000A31E0000}"/>
    <cellStyle name="Normal 9 2 2 2 2 2 3" xfId="7871" xr:uid="{00000000-0005-0000-0000-0000A41E0000}"/>
    <cellStyle name="Normal 9 2 2 2 2 2 3 2" xfId="7872" xr:uid="{00000000-0005-0000-0000-0000A51E0000}"/>
    <cellStyle name="Normal 9 2 2 2 2 2 4" xfId="7873" xr:uid="{00000000-0005-0000-0000-0000A61E0000}"/>
    <cellStyle name="Normal 9 2 2 2 2 3" xfId="7874" xr:uid="{00000000-0005-0000-0000-0000A71E0000}"/>
    <cellStyle name="Normal 9 2 2 2 2 3 2" xfId="7875" xr:uid="{00000000-0005-0000-0000-0000A81E0000}"/>
    <cellStyle name="Normal 9 2 2 2 2 4" xfId="7876" xr:uid="{00000000-0005-0000-0000-0000A91E0000}"/>
    <cellStyle name="Normal 9 2 2 2 2 4 2" xfId="7877" xr:uid="{00000000-0005-0000-0000-0000AA1E0000}"/>
    <cellStyle name="Normal 9 2 2 2 2 5" xfId="7878" xr:uid="{00000000-0005-0000-0000-0000AB1E0000}"/>
    <cellStyle name="Normal 9 2 2 2 3" xfId="7879" xr:uid="{00000000-0005-0000-0000-0000AC1E0000}"/>
    <cellStyle name="Normal 9 2 2 2 3 2" xfId="7880" xr:uid="{00000000-0005-0000-0000-0000AD1E0000}"/>
    <cellStyle name="Normal 9 2 2 2 3 2 2" xfId="7881" xr:uid="{00000000-0005-0000-0000-0000AE1E0000}"/>
    <cellStyle name="Normal 9 2 2 2 3 3" xfId="7882" xr:uid="{00000000-0005-0000-0000-0000AF1E0000}"/>
    <cellStyle name="Normal 9 2 2 2 3 3 2" xfId="7883" xr:uid="{00000000-0005-0000-0000-0000B01E0000}"/>
    <cellStyle name="Normal 9 2 2 2 3 4" xfId="7884" xr:uid="{00000000-0005-0000-0000-0000B11E0000}"/>
    <cellStyle name="Normal 9 2 2 2 4" xfId="7885" xr:uid="{00000000-0005-0000-0000-0000B21E0000}"/>
    <cellStyle name="Normal 9 2 2 2 4 2" xfId="7886" xr:uid="{00000000-0005-0000-0000-0000B31E0000}"/>
    <cellStyle name="Normal 9 2 2 2 5" xfId="7887" xr:uid="{00000000-0005-0000-0000-0000B41E0000}"/>
    <cellStyle name="Normal 9 2 2 2 5 2" xfId="7888" xr:uid="{00000000-0005-0000-0000-0000B51E0000}"/>
    <cellStyle name="Normal 9 2 2 2 6" xfId="7889" xr:uid="{00000000-0005-0000-0000-0000B61E0000}"/>
    <cellStyle name="Normal 9 2 2 3" xfId="7890" xr:uid="{00000000-0005-0000-0000-0000B71E0000}"/>
    <cellStyle name="Normal 9 2 2 3 2" xfId="7891" xr:uid="{00000000-0005-0000-0000-0000B81E0000}"/>
    <cellStyle name="Normal 9 2 2 3 2 2" xfId="7892" xr:uid="{00000000-0005-0000-0000-0000B91E0000}"/>
    <cellStyle name="Normal 9 2 2 3 2 2 2" xfId="7893" xr:uid="{00000000-0005-0000-0000-0000BA1E0000}"/>
    <cellStyle name="Normal 9 2 2 3 2 3" xfId="7894" xr:uid="{00000000-0005-0000-0000-0000BB1E0000}"/>
    <cellStyle name="Normal 9 2 2 3 2 3 2" xfId="7895" xr:uid="{00000000-0005-0000-0000-0000BC1E0000}"/>
    <cellStyle name="Normal 9 2 2 3 2 4" xfId="7896" xr:uid="{00000000-0005-0000-0000-0000BD1E0000}"/>
    <cellStyle name="Normal 9 2 2 3 3" xfId="7897" xr:uid="{00000000-0005-0000-0000-0000BE1E0000}"/>
    <cellStyle name="Normal 9 2 2 3 3 2" xfId="7898" xr:uid="{00000000-0005-0000-0000-0000BF1E0000}"/>
    <cellStyle name="Normal 9 2 2 3 4" xfId="7899" xr:uid="{00000000-0005-0000-0000-0000C01E0000}"/>
    <cellStyle name="Normal 9 2 2 3 4 2" xfId="7900" xr:uid="{00000000-0005-0000-0000-0000C11E0000}"/>
    <cellStyle name="Normal 9 2 2 3 5" xfId="7901" xr:uid="{00000000-0005-0000-0000-0000C21E0000}"/>
    <cellStyle name="Normal 9 2 2 4" xfId="7902" xr:uid="{00000000-0005-0000-0000-0000C31E0000}"/>
    <cellStyle name="Normal 9 2 2 4 2" xfId="7903" xr:uid="{00000000-0005-0000-0000-0000C41E0000}"/>
    <cellStyle name="Normal 9 2 2 4 2 2" xfId="7904" xr:uid="{00000000-0005-0000-0000-0000C51E0000}"/>
    <cellStyle name="Normal 9 2 2 4 3" xfId="7905" xr:uid="{00000000-0005-0000-0000-0000C61E0000}"/>
    <cellStyle name="Normal 9 2 2 4 3 2" xfId="7906" xr:uid="{00000000-0005-0000-0000-0000C71E0000}"/>
    <cellStyle name="Normal 9 2 2 4 4" xfId="7907" xr:uid="{00000000-0005-0000-0000-0000C81E0000}"/>
    <cellStyle name="Normal 9 2 2 5" xfId="7908" xr:uid="{00000000-0005-0000-0000-0000C91E0000}"/>
    <cellStyle name="Normal 9 2 2 5 2" xfId="7909" xr:uid="{00000000-0005-0000-0000-0000CA1E0000}"/>
    <cellStyle name="Normal 9 2 2 6" xfId="7910" xr:uid="{00000000-0005-0000-0000-0000CB1E0000}"/>
    <cellStyle name="Normal 9 2 2 6 2" xfId="7911" xr:uid="{00000000-0005-0000-0000-0000CC1E0000}"/>
    <cellStyle name="Normal 9 2 2 7" xfId="7912" xr:uid="{00000000-0005-0000-0000-0000CD1E0000}"/>
    <cellStyle name="Normal 9 2 3" xfId="7913" xr:uid="{00000000-0005-0000-0000-0000CE1E0000}"/>
    <cellStyle name="Normal 9 2 3 2" xfId="7914" xr:uid="{00000000-0005-0000-0000-0000CF1E0000}"/>
    <cellStyle name="Normal 9 2 3 2 2" xfId="7915" xr:uid="{00000000-0005-0000-0000-0000D01E0000}"/>
    <cellStyle name="Normal 9 2 3 2 2 2" xfId="7916" xr:uid="{00000000-0005-0000-0000-0000D11E0000}"/>
    <cellStyle name="Normal 9 2 3 2 2 2 2" xfId="7917" xr:uid="{00000000-0005-0000-0000-0000D21E0000}"/>
    <cellStyle name="Normal 9 2 3 2 2 3" xfId="7918" xr:uid="{00000000-0005-0000-0000-0000D31E0000}"/>
    <cellStyle name="Normal 9 2 3 2 2 3 2" xfId="7919" xr:uid="{00000000-0005-0000-0000-0000D41E0000}"/>
    <cellStyle name="Normal 9 2 3 2 2 4" xfId="7920" xr:uid="{00000000-0005-0000-0000-0000D51E0000}"/>
    <cellStyle name="Normal 9 2 3 2 3" xfId="7921" xr:uid="{00000000-0005-0000-0000-0000D61E0000}"/>
    <cellStyle name="Normal 9 2 3 2 3 2" xfId="7922" xr:uid="{00000000-0005-0000-0000-0000D71E0000}"/>
    <cellStyle name="Normal 9 2 3 2 4" xfId="7923" xr:uid="{00000000-0005-0000-0000-0000D81E0000}"/>
    <cellStyle name="Normal 9 2 3 2 4 2" xfId="7924" xr:uid="{00000000-0005-0000-0000-0000D91E0000}"/>
    <cellStyle name="Normal 9 2 3 2 5" xfId="7925" xr:uid="{00000000-0005-0000-0000-0000DA1E0000}"/>
    <cellStyle name="Normal 9 2 3 3" xfId="7926" xr:uid="{00000000-0005-0000-0000-0000DB1E0000}"/>
    <cellStyle name="Normal 9 2 3 3 2" xfId="7927" xr:uid="{00000000-0005-0000-0000-0000DC1E0000}"/>
    <cellStyle name="Normal 9 2 3 3 2 2" xfId="7928" xr:uid="{00000000-0005-0000-0000-0000DD1E0000}"/>
    <cellStyle name="Normal 9 2 3 3 3" xfId="7929" xr:uid="{00000000-0005-0000-0000-0000DE1E0000}"/>
    <cellStyle name="Normal 9 2 3 3 3 2" xfId="7930" xr:uid="{00000000-0005-0000-0000-0000DF1E0000}"/>
    <cellStyle name="Normal 9 2 3 3 4" xfId="7931" xr:uid="{00000000-0005-0000-0000-0000E01E0000}"/>
    <cellStyle name="Normal 9 2 3 4" xfId="7932" xr:uid="{00000000-0005-0000-0000-0000E11E0000}"/>
    <cellStyle name="Normal 9 2 3 4 2" xfId="7933" xr:uid="{00000000-0005-0000-0000-0000E21E0000}"/>
    <cellStyle name="Normal 9 2 3 4 3" xfId="7934" xr:uid="{00000000-0005-0000-0000-0000E31E0000}"/>
    <cellStyle name="Normal 9 2 3 5" xfId="7935" xr:uid="{00000000-0005-0000-0000-0000E41E0000}"/>
    <cellStyle name="Normal 9 2 3 5 2" xfId="7936" xr:uid="{00000000-0005-0000-0000-0000E51E0000}"/>
    <cellStyle name="Normal 9 2 3 6" xfId="7937" xr:uid="{00000000-0005-0000-0000-0000E61E0000}"/>
    <cellStyle name="Normal 9 2 4" xfId="7938" xr:uid="{00000000-0005-0000-0000-0000E71E0000}"/>
    <cellStyle name="Normal 9 2 4 2" xfId="7939" xr:uid="{00000000-0005-0000-0000-0000E81E0000}"/>
    <cellStyle name="Normal 9 2 4 2 2" xfId="7940" xr:uid="{00000000-0005-0000-0000-0000E91E0000}"/>
    <cellStyle name="Normal 9 2 4 2 2 2" xfId="7941" xr:uid="{00000000-0005-0000-0000-0000EA1E0000}"/>
    <cellStyle name="Normal 9 2 4 2 3" xfId="7942" xr:uid="{00000000-0005-0000-0000-0000EB1E0000}"/>
    <cellStyle name="Normal 9 2 4 2 3 2" xfId="7943" xr:uid="{00000000-0005-0000-0000-0000EC1E0000}"/>
    <cellStyle name="Normal 9 2 4 2 4" xfId="7944" xr:uid="{00000000-0005-0000-0000-0000ED1E0000}"/>
    <cellStyle name="Normal 9 2 4 2 5" xfId="7945" xr:uid="{00000000-0005-0000-0000-0000EE1E0000}"/>
    <cellStyle name="Normal 9 2 4 3" xfId="7946" xr:uid="{00000000-0005-0000-0000-0000EF1E0000}"/>
    <cellStyle name="Normal 9 2 4 3 2" xfId="7947" xr:uid="{00000000-0005-0000-0000-0000F01E0000}"/>
    <cellStyle name="Normal 9 2 4 3 3" xfId="7948" xr:uid="{00000000-0005-0000-0000-0000F11E0000}"/>
    <cellStyle name="Normal 9 2 4 4" xfId="7949" xr:uid="{00000000-0005-0000-0000-0000F21E0000}"/>
    <cellStyle name="Normal 9 2 4 4 2" xfId="7950" xr:uid="{00000000-0005-0000-0000-0000F31E0000}"/>
    <cellStyle name="Normal 9 2 4 4 3" xfId="7951" xr:uid="{00000000-0005-0000-0000-0000F41E0000}"/>
    <cellStyle name="Normal 9 2 4 5" xfId="7952" xr:uid="{00000000-0005-0000-0000-0000F51E0000}"/>
    <cellStyle name="Normal 9 2 4 6" xfId="7953" xr:uid="{00000000-0005-0000-0000-0000F61E0000}"/>
    <cellStyle name="Normal 9 2 5" xfId="7954" xr:uid="{00000000-0005-0000-0000-0000F71E0000}"/>
    <cellStyle name="Normal 9 2 5 2" xfId="7955" xr:uid="{00000000-0005-0000-0000-0000F81E0000}"/>
    <cellStyle name="Normal 9 2 5 2 2" xfId="7956" xr:uid="{00000000-0005-0000-0000-0000F91E0000}"/>
    <cellStyle name="Normal 9 2 5 2 2 2" xfId="7957" xr:uid="{00000000-0005-0000-0000-0000FA1E0000}"/>
    <cellStyle name="Normal 9 2 5 2 2 3" xfId="7958" xr:uid="{00000000-0005-0000-0000-0000FB1E0000}"/>
    <cellStyle name="Normal 9 2 5 2 2 4" xfId="7959" xr:uid="{00000000-0005-0000-0000-0000FC1E0000}"/>
    <cellStyle name="Normal 9 2 5 2 2 5" xfId="7960" xr:uid="{00000000-0005-0000-0000-0000FD1E0000}"/>
    <cellStyle name="Normal 9 2 5 2 3" xfId="7961" xr:uid="{00000000-0005-0000-0000-0000FE1E0000}"/>
    <cellStyle name="Normal 9 2 5 2 3 2" xfId="7962" xr:uid="{00000000-0005-0000-0000-0000FF1E0000}"/>
    <cellStyle name="Normal 9 2 5 2 3 3" xfId="7963" xr:uid="{00000000-0005-0000-0000-0000001F0000}"/>
    <cellStyle name="Normal 9 2 5 2 4" xfId="7964" xr:uid="{00000000-0005-0000-0000-0000011F0000}"/>
    <cellStyle name="Normal 9 2 5 2 4 2" xfId="7965" xr:uid="{00000000-0005-0000-0000-0000021F0000}"/>
    <cellStyle name="Normal 9 2 5 2 4 3" xfId="7966" xr:uid="{00000000-0005-0000-0000-0000031F0000}"/>
    <cellStyle name="Normal 9 2 5 2 5" xfId="7967" xr:uid="{00000000-0005-0000-0000-0000041F0000}"/>
    <cellStyle name="Normal 9 2 5 2 6" xfId="7968" xr:uid="{00000000-0005-0000-0000-0000051F0000}"/>
    <cellStyle name="Normal 9 2 5 3" xfId="7969" xr:uid="{00000000-0005-0000-0000-0000061F0000}"/>
    <cellStyle name="Normal 9 2 5 3 2" xfId="7970" xr:uid="{00000000-0005-0000-0000-0000071F0000}"/>
    <cellStyle name="Normal 9 2 5 3 2 2" xfId="7971" xr:uid="{00000000-0005-0000-0000-0000081F0000}"/>
    <cellStyle name="Normal 9 2 5 3 2 2 2" xfId="7972" xr:uid="{00000000-0005-0000-0000-0000091F0000}"/>
    <cellStyle name="Normal 9 2 5 3 2 2 3" xfId="7973" xr:uid="{00000000-0005-0000-0000-00000A1F0000}"/>
    <cellStyle name="Normal 9 2 5 3 2 3" xfId="7974" xr:uid="{00000000-0005-0000-0000-00000B1F0000}"/>
    <cellStyle name="Normal 9 2 5 3 2 3 2" xfId="7975" xr:uid="{00000000-0005-0000-0000-00000C1F0000}"/>
    <cellStyle name="Normal 9 2 5 3 2 3 3" xfId="7976" xr:uid="{00000000-0005-0000-0000-00000D1F0000}"/>
    <cellStyle name="Normal 9 2 5 3 2 4" xfId="7977" xr:uid="{00000000-0005-0000-0000-00000E1F0000}"/>
    <cellStyle name="Normal 9 2 5 3 2 5" xfId="7978" xr:uid="{00000000-0005-0000-0000-00000F1F0000}"/>
    <cellStyle name="Normal 9 2 5 3 3" xfId="7979" xr:uid="{00000000-0005-0000-0000-0000101F0000}"/>
    <cellStyle name="Normal 9 2 5 3 3 2" xfId="7980" xr:uid="{00000000-0005-0000-0000-0000111F0000}"/>
    <cellStyle name="Normal 9 2 5 3 3 3" xfId="7981" xr:uid="{00000000-0005-0000-0000-0000121F0000}"/>
    <cellStyle name="Normal 9 2 5 3 3 4" xfId="7982" xr:uid="{00000000-0005-0000-0000-0000131F0000}"/>
    <cellStyle name="Normal 9 2 5 3 3 5" xfId="7983" xr:uid="{00000000-0005-0000-0000-0000141F0000}"/>
    <cellStyle name="Normal 9 2 5 3 4" xfId="7984" xr:uid="{00000000-0005-0000-0000-0000151F0000}"/>
    <cellStyle name="Normal 9 2 5 3 4 2" xfId="7985" xr:uid="{00000000-0005-0000-0000-0000161F0000}"/>
    <cellStyle name="Normal 9 2 5 3 4 3" xfId="7986" xr:uid="{00000000-0005-0000-0000-0000171F0000}"/>
    <cellStyle name="Normal 9 2 5 3 5" xfId="7987" xr:uid="{00000000-0005-0000-0000-0000181F0000}"/>
    <cellStyle name="Normal 9 2 5 3 5 2" xfId="7988" xr:uid="{00000000-0005-0000-0000-0000191F0000}"/>
    <cellStyle name="Normal 9 2 5 3 5 3" xfId="7989" xr:uid="{00000000-0005-0000-0000-00001A1F0000}"/>
    <cellStyle name="Normal 9 2 5 3 6" xfId="7990" xr:uid="{00000000-0005-0000-0000-00001B1F0000}"/>
    <cellStyle name="Normal 9 2 5 3 7" xfId="7991" xr:uid="{00000000-0005-0000-0000-00001C1F0000}"/>
    <cellStyle name="Normal 9 2 5 4" xfId="7992" xr:uid="{00000000-0005-0000-0000-00001D1F0000}"/>
    <cellStyle name="Normal 9 2 5 4 2" xfId="7993" xr:uid="{00000000-0005-0000-0000-00001E1F0000}"/>
    <cellStyle name="Normal 9 2 5 4 2 2" xfId="7994" xr:uid="{00000000-0005-0000-0000-00001F1F0000}"/>
    <cellStyle name="Normal 9 2 5 4 2 3" xfId="7995" xr:uid="{00000000-0005-0000-0000-0000201F0000}"/>
    <cellStyle name="Normal 9 2 5 4 3" xfId="7996" xr:uid="{00000000-0005-0000-0000-0000211F0000}"/>
    <cellStyle name="Normal 9 2 5 4 3 2" xfId="7997" xr:uid="{00000000-0005-0000-0000-0000221F0000}"/>
    <cellStyle name="Normal 9 2 5 4 3 3" xfId="7998" xr:uid="{00000000-0005-0000-0000-0000231F0000}"/>
    <cellStyle name="Normal 9 2 5 4 4" xfId="7999" xr:uid="{00000000-0005-0000-0000-0000241F0000}"/>
    <cellStyle name="Normal 9 2 5 4 5" xfId="8000" xr:uid="{00000000-0005-0000-0000-0000251F0000}"/>
    <cellStyle name="Normal 9 2 5 5" xfId="8001" xr:uid="{00000000-0005-0000-0000-0000261F0000}"/>
    <cellStyle name="Normal 9 2 5 5 2" xfId="8002" xr:uid="{00000000-0005-0000-0000-0000271F0000}"/>
    <cellStyle name="Normal 9 2 5 5 3" xfId="8003" xr:uid="{00000000-0005-0000-0000-0000281F0000}"/>
    <cellStyle name="Normal 9 2 5 5 4" xfId="8004" xr:uid="{00000000-0005-0000-0000-0000291F0000}"/>
    <cellStyle name="Normal 9 2 5 5 5" xfId="8005" xr:uid="{00000000-0005-0000-0000-00002A1F0000}"/>
    <cellStyle name="Normal 9 2 5 6" xfId="8006" xr:uid="{00000000-0005-0000-0000-00002B1F0000}"/>
    <cellStyle name="Normal 9 2 5 6 2" xfId="8007" xr:uid="{00000000-0005-0000-0000-00002C1F0000}"/>
    <cellStyle name="Normal 9 2 5 6 3" xfId="8008" xr:uid="{00000000-0005-0000-0000-00002D1F0000}"/>
    <cellStyle name="Normal 9 2 5 7" xfId="8009" xr:uid="{00000000-0005-0000-0000-00002E1F0000}"/>
    <cellStyle name="Normal 9 2 5 7 2" xfId="8010" xr:uid="{00000000-0005-0000-0000-00002F1F0000}"/>
    <cellStyle name="Normal 9 2 5 7 3" xfId="8011" xr:uid="{00000000-0005-0000-0000-0000301F0000}"/>
    <cellStyle name="Normal 9 2 5 8" xfId="8012" xr:uid="{00000000-0005-0000-0000-0000311F0000}"/>
    <cellStyle name="Normal 9 2 5 9" xfId="8013" xr:uid="{00000000-0005-0000-0000-0000321F0000}"/>
    <cellStyle name="Normal 9 2 5_10070" xfId="8014" xr:uid="{00000000-0005-0000-0000-0000331F0000}"/>
    <cellStyle name="Normal 9 2 6" xfId="8015" xr:uid="{00000000-0005-0000-0000-0000341F0000}"/>
    <cellStyle name="Normal 9 2 6 2" xfId="8016" xr:uid="{00000000-0005-0000-0000-0000351F0000}"/>
    <cellStyle name="Normal 9 2 6 3" xfId="8017" xr:uid="{00000000-0005-0000-0000-0000361F0000}"/>
    <cellStyle name="Normal 9 2 6 4" xfId="8018" xr:uid="{00000000-0005-0000-0000-0000371F0000}"/>
    <cellStyle name="Normal 9 2 6 5" xfId="8019" xr:uid="{00000000-0005-0000-0000-0000381F0000}"/>
    <cellStyle name="Normal 9 2 7" xfId="8020" xr:uid="{00000000-0005-0000-0000-0000391F0000}"/>
    <cellStyle name="Normal 9 2 7 2" xfId="8021" xr:uid="{00000000-0005-0000-0000-00003A1F0000}"/>
    <cellStyle name="Normal 9 2 7 3" xfId="8022" xr:uid="{00000000-0005-0000-0000-00003B1F0000}"/>
    <cellStyle name="Normal 9 2 8" xfId="8023" xr:uid="{00000000-0005-0000-0000-00003C1F0000}"/>
    <cellStyle name="Normal 9 2 8 2" xfId="8024" xr:uid="{00000000-0005-0000-0000-00003D1F0000}"/>
    <cellStyle name="Normal 9 2 8 3" xfId="8025" xr:uid="{00000000-0005-0000-0000-00003E1F0000}"/>
    <cellStyle name="Normal 9 2 9" xfId="8026" xr:uid="{00000000-0005-0000-0000-00003F1F0000}"/>
    <cellStyle name="Normal 9 3" xfId="8027" xr:uid="{00000000-0005-0000-0000-0000401F0000}"/>
    <cellStyle name="Normal 9 3 2" xfId="8028" xr:uid="{00000000-0005-0000-0000-0000411F0000}"/>
    <cellStyle name="Normal 9 3 2 2" xfId="8029" xr:uid="{00000000-0005-0000-0000-0000421F0000}"/>
    <cellStyle name="Normal 9 3 2 2 2" xfId="8030" xr:uid="{00000000-0005-0000-0000-0000431F0000}"/>
    <cellStyle name="Normal 9 3 2 2 2 2" xfId="8031" xr:uid="{00000000-0005-0000-0000-0000441F0000}"/>
    <cellStyle name="Normal 9 3 2 2 2 2 2" xfId="8032" xr:uid="{00000000-0005-0000-0000-0000451F0000}"/>
    <cellStyle name="Normal 9 3 2 2 2 3" xfId="8033" xr:uid="{00000000-0005-0000-0000-0000461F0000}"/>
    <cellStyle name="Normal 9 3 2 2 2 3 2" xfId="8034" xr:uid="{00000000-0005-0000-0000-0000471F0000}"/>
    <cellStyle name="Normal 9 3 2 2 2 4" xfId="8035" xr:uid="{00000000-0005-0000-0000-0000481F0000}"/>
    <cellStyle name="Normal 9 3 2 2 3" xfId="8036" xr:uid="{00000000-0005-0000-0000-0000491F0000}"/>
    <cellStyle name="Normal 9 3 2 2 3 2" xfId="8037" xr:uid="{00000000-0005-0000-0000-00004A1F0000}"/>
    <cellStyle name="Normal 9 3 2 2 4" xfId="8038" xr:uid="{00000000-0005-0000-0000-00004B1F0000}"/>
    <cellStyle name="Normal 9 3 2 2 4 2" xfId="8039" xr:uid="{00000000-0005-0000-0000-00004C1F0000}"/>
    <cellStyle name="Normal 9 3 2 2 5" xfId="8040" xr:uid="{00000000-0005-0000-0000-00004D1F0000}"/>
    <cellStyle name="Normal 9 3 2 3" xfId="8041" xr:uid="{00000000-0005-0000-0000-00004E1F0000}"/>
    <cellStyle name="Normal 9 3 2 3 2" xfId="8042" xr:uid="{00000000-0005-0000-0000-00004F1F0000}"/>
    <cellStyle name="Normal 9 3 2 3 2 2" xfId="8043" xr:uid="{00000000-0005-0000-0000-0000501F0000}"/>
    <cellStyle name="Normal 9 3 2 3 3" xfId="8044" xr:uid="{00000000-0005-0000-0000-0000511F0000}"/>
    <cellStyle name="Normal 9 3 2 3 3 2" xfId="8045" xr:uid="{00000000-0005-0000-0000-0000521F0000}"/>
    <cellStyle name="Normal 9 3 2 3 4" xfId="8046" xr:uid="{00000000-0005-0000-0000-0000531F0000}"/>
    <cellStyle name="Normal 9 3 2 4" xfId="8047" xr:uid="{00000000-0005-0000-0000-0000541F0000}"/>
    <cellStyle name="Normal 9 3 2 4 2" xfId="8048" xr:uid="{00000000-0005-0000-0000-0000551F0000}"/>
    <cellStyle name="Normal 9 3 2 5" xfId="8049" xr:uid="{00000000-0005-0000-0000-0000561F0000}"/>
    <cellStyle name="Normal 9 3 2 5 2" xfId="8050" xr:uid="{00000000-0005-0000-0000-0000571F0000}"/>
    <cellStyle name="Normal 9 3 2 6" xfId="8051" xr:uid="{00000000-0005-0000-0000-0000581F0000}"/>
    <cellStyle name="Normal 9 3 3" xfId="8052" xr:uid="{00000000-0005-0000-0000-0000591F0000}"/>
    <cellStyle name="Normal 9 3 3 2" xfId="8053" xr:uid="{00000000-0005-0000-0000-00005A1F0000}"/>
    <cellStyle name="Normal 9 3 3 2 2" xfId="8054" xr:uid="{00000000-0005-0000-0000-00005B1F0000}"/>
    <cellStyle name="Normal 9 3 3 2 2 2" xfId="8055" xr:uid="{00000000-0005-0000-0000-00005C1F0000}"/>
    <cellStyle name="Normal 9 3 3 2 3" xfId="8056" xr:uid="{00000000-0005-0000-0000-00005D1F0000}"/>
    <cellStyle name="Normal 9 3 3 2 3 2" xfId="8057" xr:uid="{00000000-0005-0000-0000-00005E1F0000}"/>
    <cellStyle name="Normal 9 3 3 2 4" xfId="8058" xr:uid="{00000000-0005-0000-0000-00005F1F0000}"/>
    <cellStyle name="Normal 9 3 3 3" xfId="8059" xr:uid="{00000000-0005-0000-0000-0000601F0000}"/>
    <cellStyle name="Normal 9 3 3 3 2" xfId="8060" xr:uid="{00000000-0005-0000-0000-0000611F0000}"/>
    <cellStyle name="Normal 9 3 3 4" xfId="8061" xr:uid="{00000000-0005-0000-0000-0000621F0000}"/>
    <cellStyle name="Normal 9 3 3 4 2" xfId="8062" xr:uid="{00000000-0005-0000-0000-0000631F0000}"/>
    <cellStyle name="Normal 9 3 3 5" xfId="8063" xr:uid="{00000000-0005-0000-0000-0000641F0000}"/>
    <cellStyle name="Normal 9 3 4" xfId="8064" xr:uid="{00000000-0005-0000-0000-0000651F0000}"/>
    <cellStyle name="Normal 9 3 4 2" xfId="8065" xr:uid="{00000000-0005-0000-0000-0000661F0000}"/>
    <cellStyle name="Normal 9 3 4 2 2" xfId="8066" xr:uid="{00000000-0005-0000-0000-0000671F0000}"/>
    <cellStyle name="Normal 9 3 4 3" xfId="8067" xr:uid="{00000000-0005-0000-0000-0000681F0000}"/>
    <cellStyle name="Normal 9 3 4 3 2" xfId="8068" xr:uid="{00000000-0005-0000-0000-0000691F0000}"/>
    <cellStyle name="Normal 9 3 4 4" xfId="8069" xr:uid="{00000000-0005-0000-0000-00006A1F0000}"/>
    <cellStyle name="Normal 9 3 5" xfId="8070" xr:uid="{00000000-0005-0000-0000-00006B1F0000}"/>
    <cellStyle name="Normal 9 3 5 2" xfId="8071" xr:uid="{00000000-0005-0000-0000-00006C1F0000}"/>
    <cellStyle name="Normal 9 3 6" xfId="8072" xr:uid="{00000000-0005-0000-0000-00006D1F0000}"/>
    <cellStyle name="Normal 9 3 6 2" xfId="8073" xr:uid="{00000000-0005-0000-0000-00006E1F0000}"/>
    <cellStyle name="Normal 9 3 7" xfId="8074" xr:uid="{00000000-0005-0000-0000-00006F1F0000}"/>
    <cellStyle name="Normal 9 4" xfId="8075" xr:uid="{00000000-0005-0000-0000-0000701F0000}"/>
    <cellStyle name="Normal 9 4 2" xfId="8076" xr:uid="{00000000-0005-0000-0000-0000711F0000}"/>
    <cellStyle name="Normal 9 4 2 2" xfId="8077" xr:uid="{00000000-0005-0000-0000-0000721F0000}"/>
    <cellStyle name="Normal 9 4 2 2 2" xfId="8078" xr:uid="{00000000-0005-0000-0000-0000731F0000}"/>
    <cellStyle name="Normal 9 4 2 2 2 2" xfId="8079" xr:uid="{00000000-0005-0000-0000-0000741F0000}"/>
    <cellStyle name="Normal 9 4 2 2 2 2 2" xfId="8080" xr:uid="{00000000-0005-0000-0000-0000751F0000}"/>
    <cellStyle name="Normal 9 4 2 2 2 3" xfId="8081" xr:uid="{00000000-0005-0000-0000-0000761F0000}"/>
    <cellStyle name="Normal 9 4 2 2 2 3 2" xfId="8082" xr:uid="{00000000-0005-0000-0000-0000771F0000}"/>
    <cellStyle name="Normal 9 4 2 2 2 4" xfId="8083" xr:uid="{00000000-0005-0000-0000-0000781F0000}"/>
    <cellStyle name="Normal 9 4 2 2 3" xfId="8084" xr:uid="{00000000-0005-0000-0000-0000791F0000}"/>
    <cellStyle name="Normal 9 4 2 2 3 2" xfId="8085" xr:uid="{00000000-0005-0000-0000-00007A1F0000}"/>
    <cellStyle name="Normal 9 4 2 2 4" xfId="8086" xr:uid="{00000000-0005-0000-0000-00007B1F0000}"/>
    <cellStyle name="Normal 9 4 2 2 4 2" xfId="8087" xr:uid="{00000000-0005-0000-0000-00007C1F0000}"/>
    <cellStyle name="Normal 9 4 2 2 5" xfId="8088" xr:uid="{00000000-0005-0000-0000-00007D1F0000}"/>
    <cellStyle name="Normal 9 4 2 3" xfId="8089" xr:uid="{00000000-0005-0000-0000-00007E1F0000}"/>
    <cellStyle name="Normal 9 4 2 3 2" xfId="8090" xr:uid="{00000000-0005-0000-0000-00007F1F0000}"/>
    <cellStyle name="Normal 9 4 2 3 2 2" xfId="8091" xr:uid="{00000000-0005-0000-0000-0000801F0000}"/>
    <cellStyle name="Normal 9 4 2 3 3" xfId="8092" xr:uid="{00000000-0005-0000-0000-0000811F0000}"/>
    <cellStyle name="Normal 9 4 2 3 3 2" xfId="8093" xr:uid="{00000000-0005-0000-0000-0000821F0000}"/>
    <cellStyle name="Normal 9 4 2 3 4" xfId="8094" xr:uid="{00000000-0005-0000-0000-0000831F0000}"/>
    <cellStyle name="Normal 9 4 2 4" xfId="8095" xr:uid="{00000000-0005-0000-0000-0000841F0000}"/>
    <cellStyle name="Normal 9 4 2 4 2" xfId="8096" xr:uid="{00000000-0005-0000-0000-0000851F0000}"/>
    <cellStyle name="Normal 9 4 2 5" xfId="8097" xr:uid="{00000000-0005-0000-0000-0000861F0000}"/>
    <cellStyle name="Normal 9 4 2 5 2" xfId="8098" xr:uid="{00000000-0005-0000-0000-0000871F0000}"/>
    <cellStyle name="Normal 9 4 2 6" xfId="8099" xr:uid="{00000000-0005-0000-0000-0000881F0000}"/>
    <cellStyle name="Normal 9 4 3" xfId="8100" xr:uid="{00000000-0005-0000-0000-0000891F0000}"/>
    <cellStyle name="Normal 9 4 3 2" xfId="8101" xr:uid="{00000000-0005-0000-0000-00008A1F0000}"/>
    <cellStyle name="Normal 9 4 3 2 2" xfId="8102" xr:uid="{00000000-0005-0000-0000-00008B1F0000}"/>
    <cellStyle name="Normal 9 4 3 2 2 2" xfId="8103" xr:uid="{00000000-0005-0000-0000-00008C1F0000}"/>
    <cellStyle name="Normal 9 4 3 2 3" xfId="8104" xr:uid="{00000000-0005-0000-0000-00008D1F0000}"/>
    <cellStyle name="Normal 9 4 3 2 3 2" xfId="8105" xr:uid="{00000000-0005-0000-0000-00008E1F0000}"/>
    <cellStyle name="Normal 9 4 3 2 4" xfId="8106" xr:uid="{00000000-0005-0000-0000-00008F1F0000}"/>
    <cellStyle name="Normal 9 4 3 3" xfId="8107" xr:uid="{00000000-0005-0000-0000-0000901F0000}"/>
    <cellStyle name="Normal 9 4 3 3 2" xfId="8108" xr:uid="{00000000-0005-0000-0000-0000911F0000}"/>
    <cellStyle name="Normal 9 4 3 4" xfId="8109" xr:uid="{00000000-0005-0000-0000-0000921F0000}"/>
    <cellStyle name="Normal 9 4 3 4 2" xfId="8110" xr:uid="{00000000-0005-0000-0000-0000931F0000}"/>
    <cellStyle name="Normal 9 4 3 5" xfId="8111" xr:uid="{00000000-0005-0000-0000-0000941F0000}"/>
    <cellStyle name="Normal 9 4 4" xfId="8112" xr:uid="{00000000-0005-0000-0000-0000951F0000}"/>
    <cellStyle name="Normal 9 4 4 2" xfId="8113" xr:uid="{00000000-0005-0000-0000-0000961F0000}"/>
    <cellStyle name="Normal 9 4 4 2 2" xfId="8114" xr:uid="{00000000-0005-0000-0000-0000971F0000}"/>
    <cellStyle name="Normal 9 4 4 3" xfId="8115" xr:uid="{00000000-0005-0000-0000-0000981F0000}"/>
    <cellStyle name="Normal 9 4 4 3 2" xfId="8116" xr:uid="{00000000-0005-0000-0000-0000991F0000}"/>
    <cellStyle name="Normal 9 4 4 4" xfId="8117" xr:uid="{00000000-0005-0000-0000-00009A1F0000}"/>
    <cellStyle name="Normal 9 4 5" xfId="8118" xr:uid="{00000000-0005-0000-0000-00009B1F0000}"/>
    <cellStyle name="Normal 9 4 5 2" xfId="8119" xr:uid="{00000000-0005-0000-0000-00009C1F0000}"/>
    <cellStyle name="Normal 9 4 6" xfId="8120" xr:uid="{00000000-0005-0000-0000-00009D1F0000}"/>
    <cellStyle name="Normal 9 4 6 2" xfId="8121" xr:uid="{00000000-0005-0000-0000-00009E1F0000}"/>
    <cellStyle name="Normal 9 4 7" xfId="8122" xr:uid="{00000000-0005-0000-0000-00009F1F0000}"/>
    <cellStyle name="Normal 9 5" xfId="8123" xr:uid="{00000000-0005-0000-0000-0000A01F0000}"/>
    <cellStyle name="Normal 9 5 2" xfId="8124" xr:uid="{00000000-0005-0000-0000-0000A11F0000}"/>
    <cellStyle name="Normal 9 5 2 2" xfId="8125" xr:uid="{00000000-0005-0000-0000-0000A21F0000}"/>
    <cellStyle name="Normal 9 5 2 2 2" xfId="8126" xr:uid="{00000000-0005-0000-0000-0000A31F0000}"/>
    <cellStyle name="Normal 9 5 2 2 2 2" xfId="8127" xr:uid="{00000000-0005-0000-0000-0000A41F0000}"/>
    <cellStyle name="Normal 9 5 2 2 3" xfId="8128" xr:uid="{00000000-0005-0000-0000-0000A51F0000}"/>
    <cellStyle name="Normal 9 5 2 2 3 2" xfId="8129" xr:uid="{00000000-0005-0000-0000-0000A61F0000}"/>
    <cellStyle name="Normal 9 5 2 2 4" xfId="8130" xr:uid="{00000000-0005-0000-0000-0000A71F0000}"/>
    <cellStyle name="Normal 9 5 2 2 5" xfId="8131" xr:uid="{00000000-0005-0000-0000-0000A81F0000}"/>
    <cellStyle name="Normal 9 5 2 3" xfId="8132" xr:uid="{00000000-0005-0000-0000-0000A91F0000}"/>
    <cellStyle name="Normal 9 5 2 3 2" xfId="8133" xr:uid="{00000000-0005-0000-0000-0000AA1F0000}"/>
    <cellStyle name="Normal 9 5 2 3 3" xfId="8134" xr:uid="{00000000-0005-0000-0000-0000AB1F0000}"/>
    <cellStyle name="Normal 9 5 2 4" xfId="8135" xr:uid="{00000000-0005-0000-0000-0000AC1F0000}"/>
    <cellStyle name="Normal 9 5 2 4 2" xfId="8136" xr:uid="{00000000-0005-0000-0000-0000AD1F0000}"/>
    <cellStyle name="Normal 9 5 2 4 3" xfId="8137" xr:uid="{00000000-0005-0000-0000-0000AE1F0000}"/>
    <cellStyle name="Normal 9 5 2 5" xfId="8138" xr:uid="{00000000-0005-0000-0000-0000AF1F0000}"/>
    <cellStyle name="Normal 9 5 2 6" xfId="8139" xr:uid="{00000000-0005-0000-0000-0000B01F0000}"/>
    <cellStyle name="Normal 9 5 3" xfId="8140" xr:uid="{00000000-0005-0000-0000-0000B11F0000}"/>
    <cellStyle name="Normal 9 5 3 2" xfId="8141" xr:uid="{00000000-0005-0000-0000-0000B21F0000}"/>
    <cellStyle name="Normal 9 5 3 2 2" xfId="8142" xr:uid="{00000000-0005-0000-0000-0000B31F0000}"/>
    <cellStyle name="Normal 9 5 3 2 2 2" xfId="8143" xr:uid="{00000000-0005-0000-0000-0000B41F0000}"/>
    <cellStyle name="Normal 9 5 3 2 2 3" xfId="8144" xr:uid="{00000000-0005-0000-0000-0000B51F0000}"/>
    <cellStyle name="Normal 9 5 3 2 3" xfId="8145" xr:uid="{00000000-0005-0000-0000-0000B61F0000}"/>
    <cellStyle name="Normal 9 5 3 2 3 2" xfId="8146" xr:uid="{00000000-0005-0000-0000-0000B71F0000}"/>
    <cellStyle name="Normal 9 5 3 2 3 3" xfId="8147" xr:uid="{00000000-0005-0000-0000-0000B81F0000}"/>
    <cellStyle name="Normal 9 5 3 2 4" xfId="8148" xr:uid="{00000000-0005-0000-0000-0000B91F0000}"/>
    <cellStyle name="Normal 9 5 3 2 5" xfId="8149" xr:uid="{00000000-0005-0000-0000-0000BA1F0000}"/>
    <cellStyle name="Normal 9 5 3 3" xfId="8150" xr:uid="{00000000-0005-0000-0000-0000BB1F0000}"/>
    <cellStyle name="Normal 9 5 3 3 2" xfId="8151" xr:uid="{00000000-0005-0000-0000-0000BC1F0000}"/>
    <cellStyle name="Normal 9 5 3 3 3" xfId="8152" xr:uid="{00000000-0005-0000-0000-0000BD1F0000}"/>
    <cellStyle name="Normal 9 5 3 3 4" xfId="8153" xr:uid="{00000000-0005-0000-0000-0000BE1F0000}"/>
    <cellStyle name="Normal 9 5 3 3 5" xfId="8154" xr:uid="{00000000-0005-0000-0000-0000BF1F0000}"/>
    <cellStyle name="Normal 9 5 3 4" xfId="8155" xr:uid="{00000000-0005-0000-0000-0000C01F0000}"/>
    <cellStyle name="Normal 9 5 3 4 2" xfId="8156" xr:uid="{00000000-0005-0000-0000-0000C11F0000}"/>
    <cellStyle name="Normal 9 5 3 4 3" xfId="8157" xr:uid="{00000000-0005-0000-0000-0000C21F0000}"/>
    <cellStyle name="Normal 9 5 3 5" xfId="8158" xr:uid="{00000000-0005-0000-0000-0000C31F0000}"/>
    <cellStyle name="Normal 9 5 3 5 2" xfId="8159" xr:uid="{00000000-0005-0000-0000-0000C41F0000}"/>
    <cellStyle name="Normal 9 5 3 5 3" xfId="8160" xr:uid="{00000000-0005-0000-0000-0000C51F0000}"/>
    <cellStyle name="Normal 9 5 3 6" xfId="8161" xr:uid="{00000000-0005-0000-0000-0000C61F0000}"/>
    <cellStyle name="Normal 9 5 3 7" xfId="8162" xr:uid="{00000000-0005-0000-0000-0000C71F0000}"/>
    <cellStyle name="Normal 9 5 4" xfId="8163" xr:uid="{00000000-0005-0000-0000-0000C81F0000}"/>
    <cellStyle name="Normal 9 5 4 2" xfId="8164" xr:uid="{00000000-0005-0000-0000-0000C91F0000}"/>
    <cellStyle name="Normal 9 5 4 2 2" xfId="8165" xr:uid="{00000000-0005-0000-0000-0000CA1F0000}"/>
    <cellStyle name="Normal 9 5 4 2 3" xfId="8166" xr:uid="{00000000-0005-0000-0000-0000CB1F0000}"/>
    <cellStyle name="Normal 9 5 4 3" xfId="8167" xr:uid="{00000000-0005-0000-0000-0000CC1F0000}"/>
    <cellStyle name="Normal 9 5 4 3 2" xfId="8168" xr:uid="{00000000-0005-0000-0000-0000CD1F0000}"/>
    <cellStyle name="Normal 9 5 4 3 3" xfId="8169" xr:uid="{00000000-0005-0000-0000-0000CE1F0000}"/>
    <cellStyle name="Normal 9 5 4 4" xfId="8170" xr:uid="{00000000-0005-0000-0000-0000CF1F0000}"/>
    <cellStyle name="Normal 9 5 4 5" xfId="8171" xr:uid="{00000000-0005-0000-0000-0000D01F0000}"/>
    <cellStyle name="Normal 9 5 5" xfId="8172" xr:uid="{00000000-0005-0000-0000-0000D11F0000}"/>
    <cellStyle name="Normal 9 5 5 2" xfId="8173" xr:uid="{00000000-0005-0000-0000-0000D21F0000}"/>
    <cellStyle name="Normal 9 5 5 3" xfId="8174" xr:uid="{00000000-0005-0000-0000-0000D31F0000}"/>
    <cellStyle name="Normal 9 5 5 4" xfId="8175" xr:uid="{00000000-0005-0000-0000-0000D41F0000}"/>
    <cellStyle name="Normal 9 5 5 5" xfId="8176" xr:uid="{00000000-0005-0000-0000-0000D51F0000}"/>
    <cellStyle name="Normal 9 5 6" xfId="8177" xr:uid="{00000000-0005-0000-0000-0000D61F0000}"/>
    <cellStyle name="Normal 9 5 6 2" xfId="8178" xr:uid="{00000000-0005-0000-0000-0000D71F0000}"/>
    <cellStyle name="Normal 9 5 6 3" xfId="8179" xr:uid="{00000000-0005-0000-0000-0000D81F0000}"/>
    <cellStyle name="Normal 9 5 7" xfId="8180" xr:uid="{00000000-0005-0000-0000-0000D91F0000}"/>
    <cellStyle name="Normal 9 5 7 2" xfId="8181" xr:uid="{00000000-0005-0000-0000-0000DA1F0000}"/>
    <cellStyle name="Normal 9 5 7 3" xfId="8182" xr:uid="{00000000-0005-0000-0000-0000DB1F0000}"/>
    <cellStyle name="Normal 9 5 8" xfId="8183" xr:uid="{00000000-0005-0000-0000-0000DC1F0000}"/>
    <cellStyle name="Normal 9 5 9" xfId="8184" xr:uid="{00000000-0005-0000-0000-0000DD1F0000}"/>
    <cellStyle name="Normal 9 5_10070" xfId="8185" xr:uid="{00000000-0005-0000-0000-0000DE1F0000}"/>
    <cellStyle name="Normal 9 6" xfId="8186" xr:uid="{00000000-0005-0000-0000-0000DF1F0000}"/>
    <cellStyle name="Normal 9 6 2" xfId="8187" xr:uid="{00000000-0005-0000-0000-0000E01F0000}"/>
    <cellStyle name="Normal 9 6 2 2" xfId="8188" xr:uid="{00000000-0005-0000-0000-0000E11F0000}"/>
    <cellStyle name="Normal 9 6 2 2 2" xfId="8189" xr:uid="{00000000-0005-0000-0000-0000E21F0000}"/>
    <cellStyle name="Normal 9 6 2 3" xfId="8190" xr:uid="{00000000-0005-0000-0000-0000E31F0000}"/>
    <cellStyle name="Normal 9 6 2 3 2" xfId="8191" xr:uid="{00000000-0005-0000-0000-0000E41F0000}"/>
    <cellStyle name="Normal 9 6 2 4" xfId="8192" xr:uid="{00000000-0005-0000-0000-0000E51F0000}"/>
    <cellStyle name="Normal 9 6 3" xfId="8193" xr:uid="{00000000-0005-0000-0000-0000E61F0000}"/>
    <cellStyle name="Normal 9 6 3 2" xfId="8194" xr:uid="{00000000-0005-0000-0000-0000E71F0000}"/>
    <cellStyle name="Normal 9 6 3 3" xfId="8195" xr:uid="{00000000-0005-0000-0000-0000E81F0000}"/>
    <cellStyle name="Normal 9 6 4" xfId="8196" xr:uid="{00000000-0005-0000-0000-0000E91F0000}"/>
    <cellStyle name="Normal 9 6 4 2" xfId="8197" xr:uid="{00000000-0005-0000-0000-0000EA1F0000}"/>
    <cellStyle name="Normal 9 6 5" xfId="8198" xr:uid="{00000000-0005-0000-0000-0000EB1F0000}"/>
    <cellStyle name="Normal 9 7" xfId="8199" xr:uid="{00000000-0005-0000-0000-0000EC1F0000}"/>
    <cellStyle name="Normal 9 7 2" xfId="8200" xr:uid="{00000000-0005-0000-0000-0000ED1F0000}"/>
    <cellStyle name="Normal 9 7 2 2" xfId="8201" xr:uid="{00000000-0005-0000-0000-0000EE1F0000}"/>
    <cellStyle name="Normal 9 7 3" xfId="8202" xr:uid="{00000000-0005-0000-0000-0000EF1F0000}"/>
    <cellStyle name="Normal 9 7 3 2" xfId="8203" xr:uid="{00000000-0005-0000-0000-0000F01F0000}"/>
    <cellStyle name="Normal 9 7 4" xfId="8204" xr:uid="{00000000-0005-0000-0000-0000F11F0000}"/>
    <cellStyle name="Normal 9 7 5" xfId="8205" xr:uid="{00000000-0005-0000-0000-0000F21F0000}"/>
    <cellStyle name="Normal 9 8" xfId="8206" xr:uid="{00000000-0005-0000-0000-0000F31F0000}"/>
    <cellStyle name="Normal 9 8 2" xfId="8207" xr:uid="{00000000-0005-0000-0000-0000F41F0000}"/>
    <cellStyle name="Normal 9 8 3" xfId="8208" xr:uid="{00000000-0005-0000-0000-0000F51F0000}"/>
    <cellStyle name="Normal 9 9" xfId="8209" xr:uid="{00000000-0005-0000-0000-0000F61F0000}"/>
    <cellStyle name="Normal 9 9 2" xfId="8210" xr:uid="{00000000-0005-0000-0000-0000F71F0000}"/>
    <cellStyle name="Normal 9 9 3" xfId="8211" xr:uid="{00000000-0005-0000-0000-0000F81F0000}"/>
    <cellStyle name="Normal 9_2180" xfId="8212" xr:uid="{00000000-0005-0000-0000-0000F91F0000}"/>
    <cellStyle name="Normal 90" xfId="8213" xr:uid="{00000000-0005-0000-0000-0000FA1F0000}"/>
    <cellStyle name="Normal 90 2" xfId="8214" xr:uid="{00000000-0005-0000-0000-0000FB1F0000}"/>
    <cellStyle name="Normal 91" xfId="8215" xr:uid="{00000000-0005-0000-0000-0000FC1F0000}"/>
    <cellStyle name="Normal 92" xfId="8216" xr:uid="{00000000-0005-0000-0000-0000FD1F0000}"/>
    <cellStyle name="Normal 92 2" xfId="8217" xr:uid="{00000000-0005-0000-0000-0000FE1F0000}"/>
    <cellStyle name="Normal 92 2 2" xfId="8218" xr:uid="{00000000-0005-0000-0000-0000FF1F0000}"/>
    <cellStyle name="Normal 93" xfId="8219" xr:uid="{00000000-0005-0000-0000-000000200000}"/>
    <cellStyle name="Normal 93 2" xfId="8220" xr:uid="{00000000-0005-0000-0000-000001200000}"/>
    <cellStyle name="Normal 93 3" xfId="8221" xr:uid="{00000000-0005-0000-0000-000002200000}"/>
    <cellStyle name="Normal 94" xfId="8222" xr:uid="{00000000-0005-0000-0000-000003200000}"/>
    <cellStyle name="Normal 94 2" xfId="8223" xr:uid="{00000000-0005-0000-0000-000004200000}"/>
    <cellStyle name="Normal 94 3" xfId="8224" xr:uid="{00000000-0005-0000-0000-000005200000}"/>
    <cellStyle name="Normal 95" xfId="8225" xr:uid="{00000000-0005-0000-0000-000006200000}"/>
    <cellStyle name="Normal 95 2" xfId="8226" xr:uid="{00000000-0005-0000-0000-000007200000}"/>
    <cellStyle name="Normal 95 3" xfId="8227" xr:uid="{00000000-0005-0000-0000-000008200000}"/>
    <cellStyle name="Normal 96" xfId="8228" xr:uid="{00000000-0005-0000-0000-000009200000}"/>
    <cellStyle name="Normal 96 2" xfId="8229" xr:uid="{00000000-0005-0000-0000-00000A200000}"/>
    <cellStyle name="Normal 96 3" xfId="8230" xr:uid="{00000000-0005-0000-0000-00000B200000}"/>
    <cellStyle name="Normal 97" xfId="8231" xr:uid="{00000000-0005-0000-0000-00000C200000}"/>
    <cellStyle name="Normal 97 2" xfId="8232" xr:uid="{00000000-0005-0000-0000-00000D200000}"/>
    <cellStyle name="Normal 97 3" xfId="8233" xr:uid="{00000000-0005-0000-0000-00000E200000}"/>
    <cellStyle name="Normal 98" xfId="8234" xr:uid="{00000000-0005-0000-0000-00000F200000}"/>
    <cellStyle name="Normal 98 2" xfId="8235" xr:uid="{00000000-0005-0000-0000-000010200000}"/>
    <cellStyle name="Normal 98 2 2" xfId="8236" xr:uid="{00000000-0005-0000-0000-000011200000}"/>
    <cellStyle name="Normal 99" xfId="8237" xr:uid="{00000000-0005-0000-0000-000012200000}"/>
    <cellStyle name="Normal 99 2" xfId="8238" xr:uid="{00000000-0005-0000-0000-000013200000}"/>
    <cellStyle name="Normal 99 3" xfId="8239" xr:uid="{00000000-0005-0000-0000-000014200000}"/>
    <cellStyle name="Normal 99 4" xfId="8240" xr:uid="{00000000-0005-0000-0000-000015200000}"/>
    <cellStyle name="Normal_2149 Depr 12-31-10" xfId="2" xr:uid="{00000000-0005-0000-0000-000016200000}"/>
    <cellStyle name="Normal_Clark County Depr 12-31-10 R" xfId="239" xr:uid="{00000000-0005-0000-0000-000017200000}"/>
    <cellStyle name="Normal_Depr 2144 3-31-12" xfId="9019" xr:uid="{B79775C4-982C-45DC-B5CC-CC11DE699996}"/>
    <cellStyle name="Normal_Report" xfId="9026" xr:uid="{28A13D0D-D577-4BE9-903D-DA6E6BCF750B}"/>
    <cellStyle name="Note 2" xfId="106" xr:uid="{00000000-0005-0000-0000-000018200000}"/>
    <cellStyle name="Note 2 2" xfId="241" xr:uid="{00000000-0005-0000-0000-000019200000}"/>
    <cellStyle name="Note 2 2 2" xfId="8243" xr:uid="{00000000-0005-0000-0000-00001A200000}"/>
    <cellStyle name="Note 2 2 2 2" xfId="8244" xr:uid="{00000000-0005-0000-0000-00001B200000}"/>
    <cellStyle name="Note 2 2 2 3" xfId="8245" xr:uid="{00000000-0005-0000-0000-00001C200000}"/>
    <cellStyle name="Note 2 2 2 4" xfId="8246" xr:uid="{00000000-0005-0000-0000-00001D200000}"/>
    <cellStyle name="Note 2 2 2 5" xfId="8247" xr:uid="{00000000-0005-0000-0000-00001E200000}"/>
    <cellStyle name="Note 2 2 3" xfId="8248" xr:uid="{00000000-0005-0000-0000-00001F200000}"/>
    <cellStyle name="Note 2 2 3 2" xfId="8249" xr:uid="{00000000-0005-0000-0000-000020200000}"/>
    <cellStyle name="Note 2 2 3 3" xfId="8250" xr:uid="{00000000-0005-0000-0000-000021200000}"/>
    <cellStyle name="Note 2 2 3 4" xfId="8251" xr:uid="{00000000-0005-0000-0000-000022200000}"/>
    <cellStyle name="Note 2 2 3 5" xfId="8252" xr:uid="{00000000-0005-0000-0000-000023200000}"/>
    <cellStyle name="Note 2 2 4" xfId="8242" xr:uid="{00000000-0005-0000-0000-000024200000}"/>
    <cellStyle name="Note 2 3" xfId="8253" xr:uid="{00000000-0005-0000-0000-000025200000}"/>
    <cellStyle name="Note 2 3 2" xfId="8254" xr:uid="{00000000-0005-0000-0000-000026200000}"/>
    <cellStyle name="Note 2 3 2 2" xfId="8255" xr:uid="{00000000-0005-0000-0000-000027200000}"/>
    <cellStyle name="Note 2 3 2 3" xfId="8256" xr:uid="{00000000-0005-0000-0000-000028200000}"/>
    <cellStyle name="Note 2 3 2 4" xfId="8257" xr:uid="{00000000-0005-0000-0000-000029200000}"/>
    <cellStyle name="Note 2 3 2 5" xfId="8258" xr:uid="{00000000-0005-0000-0000-00002A200000}"/>
    <cellStyle name="Note 2 3 3" xfId="8259" xr:uid="{00000000-0005-0000-0000-00002B200000}"/>
    <cellStyle name="Note 2 4" xfId="8260" xr:uid="{00000000-0005-0000-0000-00002C200000}"/>
    <cellStyle name="Note 2 4 2" xfId="8261" xr:uid="{00000000-0005-0000-0000-00002D200000}"/>
    <cellStyle name="Note 2 4 2 2" xfId="8262" xr:uid="{00000000-0005-0000-0000-00002E200000}"/>
    <cellStyle name="Note 2 4 2 3" xfId="8263" xr:uid="{00000000-0005-0000-0000-00002F200000}"/>
    <cellStyle name="Note 2 4 2 4" xfId="8264" xr:uid="{00000000-0005-0000-0000-000030200000}"/>
    <cellStyle name="Note 2 4 2 5" xfId="8265" xr:uid="{00000000-0005-0000-0000-000031200000}"/>
    <cellStyle name="Note 2 4 3" xfId="8266" xr:uid="{00000000-0005-0000-0000-000032200000}"/>
    <cellStyle name="Note 2 5" xfId="8267" xr:uid="{00000000-0005-0000-0000-000033200000}"/>
    <cellStyle name="Note 2 5 2" xfId="8268" xr:uid="{00000000-0005-0000-0000-000034200000}"/>
    <cellStyle name="Note 2 5 3" xfId="8269" xr:uid="{00000000-0005-0000-0000-000035200000}"/>
    <cellStyle name="Note 2 5 4" xfId="8270" xr:uid="{00000000-0005-0000-0000-000036200000}"/>
    <cellStyle name="Note 2 5 5" xfId="8271" xr:uid="{00000000-0005-0000-0000-000037200000}"/>
    <cellStyle name="Note 2 6" xfId="8272" xr:uid="{00000000-0005-0000-0000-000038200000}"/>
    <cellStyle name="Note 2 7" xfId="8241" xr:uid="{00000000-0005-0000-0000-000039200000}"/>
    <cellStyle name="Note 3" xfId="240" xr:uid="{00000000-0005-0000-0000-00003A200000}"/>
    <cellStyle name="Note 3 2" xfId="8274" xr:uid="{00000000-0005-0000-0000-00003B200000}"/>
    <cellStyle name="Note 3 2 2" xfId="8275" xr:uid="{00000000-0005-0000-0000-00003C200000}"/>
    <cellStyle name="Note 3 2 2 2" xfId="8276" xr:uid="{00000000-0005-0000-0000-00003D200000}"/>
    <cellStyle name="Note 3 2 2 3" xfId="8277" xr:uid="{00000000-0005-0000-0000-00003E200000}"/>
    <cellStyle name="Note 3 2 2 4" xfId="8278" xr:uid="{00000000-0005-0000-0000-00003F200000}"/>
    <cellStyle name="Note 3 2 2 5" xfId="8279" xr:uid="{00000000-0005-0000-0000-000040200000}"/>
    <cellStyle name="Note 3 2 3" xfId="8280" xr:uid="{00000000-0005-0000-0000-000041200000}"/>
    <cellStyle name="Note 3 2 3 2" xfId="8281" xr:uid="{00000000-0005-0000-0000-000042200000}"/>
    <cellStyle name="Note 3 2 3 3" xfId="8282" xr:uid="{00000000-0005-0000-0000-000043200000}"/>
    <cellStyle name="Note 3 2 3 4" xfId="8283" xr:uid="{00000000-0005-0000-0000-000044200000}"/>
    <cellStyle name="Note 3 2 3 5" xfId="8284" xr:uid="{00000000-0005-0000-0000-000045200000}"/>
    <cellStyle name="Note 3 3" xfId="8285" xr:uid="{00000000-0005-0000-0000-000046200000}"/>
    <cellStyle name="Note 3 3 2" xfId="8286" xr:uid="{00000000-0005-0000-0000-000047200000}"/>
    <cellStyle name="Note 3 3 2 2" xfId="8287" xr:uid="{00000000-0005-0000-0000-000048200000}"/>
    <cellStyle name="Note 3 3 2 3" xfId="8288" xr:uid="{00000000-0005-0000-0000-000049200000}"/>
    <cellStyle name="Note 3 3 2 4" xfId="8289" xr:uid="{00000000-0005-0000-0000-00004A200000}"/>
    <cellStyle name="Note 3 3 2 5" xfId="8290" xr:uid="{00000000-0005-0000-0000-00004B200000}"/>
    <cellStyle name="Note 3 3 3" xfId="8291" xr:uid="{00000000-0005-0000-0000-00004C200000}"/>
    <cellStyle name="Note 3 4" xfId="8292" xr:uid="{00000000-0005-0000-0000-00004D200000}"/>
    <cellStyle name="Note 3 4 2" xfId="8293" xr:uid="{00000000-0005-0000-0000-00004E200000}"/>
    <cellStyle name="Note 3 4 2 2" xfId="8294" xr:uid="{00000000-0005-0000-0000-00004F200000}"/>
    <cellStyle name="Note 3 4 2 3" xfId="8295" xr:uid="{00000000-0005-0000-0000-000050200000}"/>
    <cellStyle name="Note 3 4 2 4" xfId="8296" xr:uid="{00000000-0005-0000-0000-000051200000}"/>
    <cellStyle name="Note 3 4 2 5" xfId="8297" xr:uid="{00000000-0005-0000-0000-000052200000}"/>
    <cellStyle name="Note 3 4 3" xfId="8298" xr:uid="{00000000-0005-0000-0000-000053200000}"/>
    <cellStyle name="Note 3 5" xfId="8299" xr:uid="{00000000-0005-0000-0000-000054200000}"/>
    <cellStyle name="Note 3 5 2" xfId="8300" xr:uid="{00000000-0005-0000-0000-000055200000}"/>
    <cellStyle name="Note 3 5 3" xfId="8301" xr:uid="{00000000-0005-0000-0000-000056200000}"/>
    <cellStyle name="Note 3 5 4" xfId="8302" xr:uid="{00000000-0005-0000-0000-000057200000}"/>
    <cellStyle name="Note 3 5 5" xfId="8303" xr:uid="{00000000-0005-0000-0000-000058200000}"/>
    <cellStyle name="Note 3 6" xfId="8304" xr:uid="{00000000-0005-0000-0000-000059200000}"/>
    <cellStyle name="Note 3 7" xfId="8273" xr:uid="{00000000-0005-0000-0000-00005A200000}"/>
    <cellStyle name="Note 4" xfId="8305" xr:uid="{00000000-0005-0000-0000-00005B200000}"/>
    <cellStyle name="Note 4 2" xfId="8306" xr:uid="{00000000-0005-0000-0000-00005C200000}"/>
    <cellStyle name="Note 4 3" xfId="8307" xr:uid="{00000000-0005-0000-0000-00005D200000}"/>
    <cellStyle name="Note 4 3 2" xfId="8308" xr:uid="{00000000-0005-0000-0000-00005E200000}"/>
    <cellStyle name="Note 4 3 3" xfId="8309" xr:uid="{00000000-0005-0000-0000-00005F200000}"/>
    <cellStyle name="Note 4 3 4" xfId="8310" xr:uid="{00000000-0005-0000-0000-000060200000}"/>
    <cellStyle name="Note 4 3 5" xfId="8311" xr:uid="{00000000-0005-0000-0000-000061200000}"/>
    <cellStyle name="Note 4 4" xfId="8312" xr:uid="{00000000-0005-0000-0000-000062200000}"/>
    <cellStyle name="Note 4 5" xfId="8313" xr:uid="{00000000-0005-0000-0000-000063200000}"/>
    <cellStyle name="Note 5" xfId="8314" xr:uid="{00000000-0005-0000-0000-000064200000}"/>
    <cellStyle name="Note 5 2" xfId="8315" xr:uid="{00000000-0005-0000-0000-000065200000}"/>
    <cellStyle name="Note 5 2 2" xfId="8316" xr:uid="{00000000-0005-0000-0000-000066200000}"/>
    <cellStyle name="Note 5 2 3" xfId="8317" xr:uid="{00000000-0005-0000-0000-000067200000}"/>
    <cellStyle name="Note 5 2 4" xfId="8318" xr:uid="{00000000-0005-0000-0000-000068200000}"/>
    <cellStyle name="Note 5 2 5" xfId="8319" xr:uid="{00000000-0005-0000-0000-000069200000}"/>
    <cellStyle name="Note 6" xfId="8320" xr:uid="{00000000-0005-0000-0000-00006A200000}"/>
    <cellStyle name="Notes" xfId="107" xr:uid="{00000000-0005-0000-0000-00006B200000}"/>
    <cellStyle name="Notes 2" xfId="8321" xr:uid="{00000000-0005-0000-0000-00006C200000}"/>
    <cellStyle name="Output 2" xfId="243" xr:uid="{00000000-0005-0000-0000-00006D200000}"/>
    <cellStyle name="Output 2 2" xfId="8324" xr:uid="{00000000-0005-0000-0000-00006E200000}"/>
    <cellStyle name="Output 2 2 2" xfId="8325" xr:uid="{00000000-0005-0000-0000-00006F200000}"/>
    <cellStyle name="Output 2 2 2 2" xfId="8326" xr:uid="{00000000-0005-0000-0000-000070200000}"/>
    <cellStyle name="Output 2 2 2 2 2" xfId="8327" xr:uid="{00000000-0005-0000-0000-000071200000}"/>
    <cellStyle name="Output 2 2 2 2 3" xfId="8328" xr:uid="{00000000-0005-0000-0000-000072200000}"/>
    <cellStyle name="Output 2 2 2 2 4" xfId="8329" xr:uid="{00000000-0005-0000-0000-000073200000}"/>
    <cellStyle name="Output 2 2 2 2 5" xfId="8330" xr:uid="{00000000-0005-0000-0000-000074200000}"/>
    <cellStyle name="Output 2 2 2 3" xfId="8331" xr:uid="{00000000-0005-0000-0000-000075200000}"/>
    <cellStyle name="Output 2 2 3" xfId="8332" xr:uid="{00000000-0005-0000-0000-000076200000}"/>
    <cellStyle name="Output 2 2 3 2" xfId="8333" xr:uid="{00000000-0005-0000-0000-000077200000}"/>
    <cellStyle name="Output 2 2 3 3" xfId="8334" xr:uid="{00000000-0005-0000-0000-000078200000}"/>
    <cellStyle name="Output 2 2 3 4" xfId="8335" xr:uid="{00000000-0005-0000-0000-000079200000}"/>
    <cellStyle name="Output 2 2 3 5" xfId="8336" xr:uid="{00000000-0005-0000-0000-00007A200000}"/>
    <cellStyle name="Output 2 2 4" xfId="8337" xr:uid="{00000000-0005-0000-0000-00007B200000}"/>
    <cellStyle name="Output 2 3" xfId="8338" xr:uid="{00000000-0005-0000-0000-00007C200000}"/>
    <cellStyle name="Output 2 3 2" xfId="8339" xr:uid="{00000000-0005-0000-0000-00007D200000}"/>
    <cellStyle name="Output 2 3 2 2" xfId="8340" xr:uid="{00000000-0005-0000-0000-00007E200000}"/>
    <cellStyle name="Output 2 3 2 3" xfId="8341" xr:uid="{00000000-0005-0000-0000-00007F200000}"/>
    <cellStyle name="Output 2 3 2 4" xfId="8342" xr:uid="{00000000-0005-0000-0000-000080200000}"/>
    <cellStyle name="Output 2 3 2 5" xfId="8343" xr:uid="{00000000-0005-0000-0000-000081200000}"/>
    <cellStyle name="Output 2 3 3" xfId="8344" xr:uid="{00000000-0005-0000-0000-000082200000}"/>
    <cellStyle name="Output 2 4" xfId="8345" xr:uid="{00000000-0005-0000-0000-000083200000}"/>
    <cellStyle name="Output 2 4 2" xfId="8346" xr:uid="{00000000-0005-0000-0000-000084200000}"/>
    <cellStyle name="Output 2 4 3" xfId="8347" xr:uid="{00000000-0005-0000-0000-000085200000}"/>
    <cellStyle name="Output 2 4 4" xfId="8348" xr:uid="{00000000-0005-0000-0000-000086200000}"/>
    <cellStyle name="Output 2 4 5" xfId="8349" xr:uid="{00000000-0005-0000-0000-000087200000}"/>
    <cellStyle name="Output 2 5" xfId="8350" xr:uid="{00000000-0005-0000-0000-000088200000}"/>
    <cellStyle name="Output 2 6" xfId="8323" xr:uid="{00000000-0005-0000-0000-000089200000}"/>
    <cellStyle name="Output 3" xfId="242" xr:uid="{00000000-0005-0000-0000-00008A200000}"/>
    <cellStyle name="Output 3 2" xfId="8352" xr:uid="{00000000-0005-0000-0000-00008B200000}"/>
    <cellStyle name="Output 3 2 2" xfId="8353" xr:uid="{00000000-0005-0000-0000-00008C200000}"/>
    <cellStyle name="Output 3 2 2 2" xfId="8354" xr:uid="{00000000-0005-0000-0000-00008D200000}"/>
    <cellStyle name="Output 3 2 2 3" xfId="8355" xr:uid="{00000000-0005-0000-0000-00008E200000}"/>
    <cellStyle name="Output 3 2 2 4" xfId="8356" xr:uid="{00000000-0005-0000-0000-00008F200000}"/>
    <cellStyle name="Output 3 2 2 5" xfId="8357" xr:uid="{00000000-0005-0000-0000-000090200000}"/>
    <cellStyle name="Output 3 2 3" xfId="8358" xr:uid="{00000000-0005-0000-0000-000091200000}"/>
    <cellStyle name="Output 3 3" xfId="8359" xr:uid="{00000000-0005-0000-0000-000092200000}"/>
    <cellStyle name="Output 3 3 2" xfId="8360" xr:uid="{00000000-0005-0000-0000-000093200000}"/>
    <cellStyle name="Output 3 3 3" xfId="8361" xr:uid="{00000000-0005-0000-0000-000094200000}"/>
    <cellStyle name="Output 3 3 4" xfId="8362" xr:uid="{00000000-0005-0000-0000-000095200000}"/>
    <cellStyle name="Output 3 3 5" xfId="8363" xr:uid="{00000000-0005-0000-0000-000096200000}"/>
    <cellStyle name="Output 3 4" xfId="8364" xr:uid="{00000000-0005-0000-0000-000097200000}"/>
    <cellStyle name="Output 3 4 2" xfId="8365" xr:uid="{00000000-0005-0000-0000-000098200000}"/>
    <cellStyle name="Output 3 4 3" xfId="8366" xr:uid="{00000000-0005-0000-0000-000099200000}"/>
    <cellStyle name="Output 3 4 4" xfId="8367" xr:uid="{00000000-0005-0000-0000-00009A200000}"/>
    <cellStyle name="Output 3 4 5" xfId="8368" xr:uid="{00000000-0005-0000-0000-00009B200000}"/>
    <cellStyle name="Output 3 5" xfId="8369" xr:uid="{00000000-0005-0000-0000-00009C200000}"/>
    <cellStyle name="Output 3 6" xfId="8351" xr:uid="{00000000-0005-0000-0000-00009D200000}"/>
    <cellStyle name="Output 4" xfId="8370" xr:uid="{00000000-0005-0000-0000-00009E200000}"/>
    <cellStyle name="Output 5" xfId="8322" xr:uid="{00000000-0005-0000-0000-00009F200000}"/>
    <cellStyle name="Percent" xfId="9017" builtinId="5"/>
    <cellStyle name="Percent 10" xfId="8371" xr:uid="{00000000-0005-0000-0000-0000A1200000}"/>
    <cellStyle name="Percent 10 2" xfId="8372" xr:uid="{00000000-0005-0000-0000-0000A2200000}"/>
    <cellStyle name="Percent 10 3" xfId="8373" xr:uid="{00000000-0005-0000-0000-0000A3200000}"/>
    <cellStyle name="Percent 10 4" xfId="8374" xr:uid="{00000000-0005-0000-0000-0000A4200000}"/>
    <cellStyle name="Percent 11" xfId="8375" xr:uid="{00000000-0005-0000-0000-0000A5200000}"/>
    <cellStyle name="Percent 11 2" xfId="8376" xr:uid="{00000000-0005-0000-0000-0000A6200000}"/>
    <cellStyle name="Percent 11 2 2" xfId="8377" xr:uid="{00000000-0005-0000-0000-0000A7200000}"/>
    <cellStyle name="Percent 11 3" xfId="8378" xr:uid="{00000000-0005-0000-0000-0000A8200000}"/>
    <cellStyle name="Percent 11 3 2" xfId="8379" xr:uid="{00000000-0005-0000-0000-0000A9200000}"/>
    <cellStyle name="Percent 11 4" xfId="8380" xr:uid="{00000000-0005-0000-0000-0000AA200000}"/>
    <cellStyle name="Percent 12" xfId="8381" xr:uid="{00000000-0005-0000-0000-0000AB200000}"/>
    <cellStyle name="Percent 13" xfId="8382" xr:uid="{00000000-0005-0000-0000-0000AC200000}"/>
    <cellStyle name="Percent 14" xfId="8383" xr:uid="{00000000-0005-0000-0000-0000AD200000}"/>
    <cellStyle name="Percent 14 2" xfId="8384" xr:uid="{00000000-0005-0000-0000-0000AE200000}"/>
    <cellStyle name="Percent 14 2 2" xfId="8385" xr:uid="{00000000-0005-0000-0000-0000AF200000}"/>
    <cellStyle name="Percent 15" xfId="9014" xr:uid="{00000000-0005-0000-0000-0000B0200000}"/>
    <cellStyle name="Percent 16 2" xfId="8386" xr:uid="{00000000-0005-0000-0000-0000B1200000}"/>
    <cellStyle name="Percent 16 2 2" xfId="8387" xr:uid="{00000000-0005-0000-0000-0000B2200000}"/>
    <cellStyle name="Percent 2" xfId="108" xr:uid="{00000000-0005-0000-0000-0000B3200000}"/>
    <cellStyle name="Percent 2 2" xfId="109" xr:uid="{00000000-0005-0000-0000-0000B4200000}"/>
    <cellStyle name="Percent 2 2 2" xfId="8390" xr:uid="{00000000-0005-0000-0000-0000B5200000}"/>
    <cellStyle name="Percent 2 2 3" xfId="8391" xr:uid="{00000000-0005-0000-0000-0000B6200000}"/>
    <cellStyle name="Percent 2 2 3 2" xfId="8392" xr:uid="{00000000-0005-0000-0000-0000B7200000}"/>
    <cellStyle name="Percent 2 2 4" xfId="8389" xr:uid="{00000000-0005-0000-0000-0000B8200000}"/>
    <cellStyle name="Percent 2 3" xfId="8393" xr:uid="{00000000-0005-0000-0000-0000B9200000}"/>
    <cellStyle name="Percent 2 3 2" xfId="8394" xr:uid="{00000000-0005-0000-0000-0000BA200000}"/>
    <cellStyle name="Percent 2 3 3" xfId="8395" xr:uid="{00000000-0005-0000-0000-0000BB200000}"/>
    <cellStyle name="Percent 2 4" xfId="8396" xr:uid="{00000000-0005-0000-0000-0000BC200000}"/>
    <cellStyle name="Percent 2 4 2" xfId="8397" xr:uid="{00000000-0005-0000-0000-0000BD200000}"/>
    <cellStyle name="Percent 2 4 3" xfId="8398" xr:uid="{00000000-0005-0000-0000-0000BE200000}"/>
    <cellStyle name="Percent 2 5" xfId="8399" xr:uid="{00000000-0005-0000-0000-0000BF200000}"/>
    <cellStyle name="Percent 2 6" xfId="8400" xr:uid="{00000000-0005-0000-0000-0000C0200000}"/>
    <cellStyle name="Percent 2 7" xfId="8388" xr:uid="{00000000-0005-0000-0000-0000C1200000}"/>
    <cellStyle name="Percent 3" xfId="110" xr:uid="{00000000-0005-0000-0000-0000C2200000}"/>
    <cellStyle name="Percent 3 10" xfId="8402" xr:uid="{00000000-0005-0000-0000-0000C3200000}"/>
    <cellStyle name="Percent 3 11" xfId="8401" xr:uid="{00000000-0005-0000-0000-0000C4200000}"/>
    <cellStyle name="Percent 3 2" xfId="8403" xr:uid="{00000000-0005-0000-0000-0000C5200000}"/>
    <cellStyle name="Percent 3 2 2" xfId="8404" xr:uid="{00000000-0005-0000-0000-0000C6200000}"/>
    <cellStyle name="Percent 3 2 2 2" xfId="8405" xr:uid="{00000000-0005-0000-0000-0000C7200000}"/>
    <cellStyle name="Percent 3 2 2 2 2" xfId="8406" xr:uid="{00000000-0005-0000-0000-0000C8200000}"/>
    <cellStyle name="Percent 3 2 2 2 2 2" xfId="8407" xr:uid="{00000000-0005-0000-0000-0000C9200000}"/>
    <cellStyle name="Percent 3 2 2 2 2 2 2" xfId="8408" xr:uid="{00000000-0005-0000-0000-0000CA200000}"/>
    <cellStyle name="Percent 3 2 2 2 2 2 2 2" xfId="8409" xr:uid="{00000000-0005-0000-0000-0000CB200000}"/>
    <cellStyle name="Percent 3 2 2 2 2 2 3" xfId="8410" xr:uid="{00000000-0005-0000-0000-0000CC200000}"/>
    <cellStyle name="Percent 3 2 2 2 2 2 3 2" xfId="8411" xr:uid="{00000000-0005-0000-0000-0000CD200000}"/>
    <cellStyle name="Percent 3 2 2 2 2 2 4" xfId="8412" xr:uid="{00000000-0005-0000-0000-0000CE200000}"/>
    <cellStyle name="Percent 3 2 2 2 2 3" xfId="8413" xr:uid="{00000000-0005-0000-0000-0000CF200000}"/>
    <cellStyle name="Percent 3 2 2 2 2 3 2" xfId="8414" xr:uid="{00000000-0005-0000-0000-0000D0200000}"/>
    <cellStyle name="Percent 3 2 2 2 2 4" xfId="8415" xr:uid="{00000000-0005-0000-0000-0000D1200000}"/>
    <cellStyle name="Percent 3 2 2 2 2 4 2" xfId="8416" xr:uid="{00000000-0005-0000-0000-0000D2200000}"/>
    <cellStyle name="Percent 3 2 2 2 2 5" xfId="8417" xr:uid="{00000000-0005-0000-0000-0000D3200000}"/>
    <cellStyle name="Percent 3 2 2 2 3" xfId="8418" xr:uid="{00000000-0005-0000-0000-0000D4200000}"/>
    <cellStyle name="Percent 3 2 2 2 3 2" xfId="8419" xr:uid="{00000000-0005-0000-0000-0000D5200000}"/>
    <cellStyle name="Percent 3 2 2 2 3 2 2" xfId="8420" xr:uid="{00000000-0005-0000-0000-0000D6200000}"/>
    <cellStyle name="Percent 3 2 2 2 3 3" xfId="8421" xr:uid="{00000000-0005-0000-0000-0000D7200000}"/>
    <cellStyle name="Percent 3 2 2 2 3 3 2" xfId="8422" xr:uid="{00000000-0005-0000-0000-0000D8200000}"/>
    <cellStyle name="Percent 3 2 2 2 3 4" xfId="8423" xr:uid="{00000000-0005-0000-0000-0000D9200000}"/>
    <cellStyle name="Percent 3 2 2 2 4" xfId="8424" xr:uid="{00000000-0005-0000-0000-0000DA200000}"/>
    <cellStyle name="Percent 3 2 2 2 4 2" xfId="8425" xr:uid="{00000000-0005-0000-0000-0000DB200000}"/>
    <cellStyle name="Percent 3 2 2 2 5" xfId="8426" xr:uid="{00000000-0005-0000-0000-0000DC200000}"/>
    <cellStyle name="Percent 3 2 2 2 5 2" xfId="8427" xr:uid="{00000000-0005-0000-0000-0000DD200000}"/>
    <cellStyle name="Percent 3 2 2 2 6" xfId="8428" xr:uid="{00000000-0005-0000-0000-0000DE200000}"/>
    <cellStyle name="Percent 3 2 2 3" xfId="8429" xr:uid="{00000000-0005-0000-0000-0000DF200000}"/>
    <cellStyle name="Percent 3 2 2 3 2" xfId="8430" xr:uid="{00000000-0005-0000-0000-0000E0200000}"/>
    <cellStyle name="Percent 3 2 2 3 2 2" xfId="8431" xr:uid="{00000000-0005-0000-0000-0000E1200000}"/>
    <cellStyle name="Percent 3 2 2 3 2 2 2" xfId="8432" xr:uid="{00000000-0005-0000-0000-0000E2200000}"/>
    <cellStyle name="Percent 3 2 2 3 2 3" xfId="8433" xr:uid="{00000000-0005-0000-0000-0000E3200000}"/>
    <cellStyle name="Percent 3 2 2 3 2 3 2" xfId="8434" xr:uid="{00000000-0005-0000-0000-0000E4200000}"/>
    <cellStyle name="Percent 3 2 2 3 2 4" xfId="8435" xr:uid="{00000000-0005-0000-0000-0000E5200000}"/>
    <cellStyle name="Percent 3 2 2 3 3" xfId="8436" xr:uid="{00000000-0005-0000-0000-0000E6200000}"/>
    <cellStyle name="Percent 3 2 2 3 3 2" xfId="8437" xr:uid="{00000000-0005-0000-0000-0000E7200000}"/>
    <cellStyle name="Percent 3 2 2 3 4" xfId="8438" xr:uid="{00000000-0005-0000-0000-0000E8200000}"/>
    <cellStyle name="Percent 3 2 2 3 4 2" xfId="8439" xr:uid="{00000000-0005-0000-0000-0000E9200000}"/>
    <cellStyle name="Percent 3 2 2 3 5" xfId="8440" xr:uid="{00000000-0005-0000-0000-0000EA200000}"/>
    <cellStyle name="Percent 3 2 2 4" xfId="8441" xr:uid="{00000000-0005-0000-0000-0000EB200000}"/>
    <cellStyle name="Percent 3 2 2 4 2" xfId="8442" xr:uid="{00000000-0005-0000-0000-0000EC200000}"/>
    <cellStyle name="Percent 3 2 2 4 2 2" xfId="8443" xr:uid="{00000000-0005-0000-0000-0000ED200000}"/>
    <cellStyle name="Percent 3 2 2 4 3" xfId="8444" xr:uid="{00000000-0005-0000-0000-0000EE200000}"/>
    <cellStyle name="Percent 3 2 2 4 3 2" xfId="8445" xr:uid="{00000000-0005-0000-0000-0000EF200000}"/>
    <cellStyle name="Percent 3 2 2 4 4" xfId="8446" xr:uid="{00000000-0005-0000-0000-0000F0200000}"/>
    <cellStyle name="Percent 3 2 2 5" xfId="8447" xr:uid="{00000000-0005-0000-0000-0000F1200000}"/>
    <cellStyle name="Percent 3 2 2 5 2" xfId="8448" xr:uid="{00000000-0005-0000-0000-0000F2200000}"/>
    <cellStyle name="Percent 3 2 2 6" xfId="8449" xr:uid="{00000000-0005-0000-0000-0000F3200000}"/>
    <cellStyle name="Percent 3 2 2 6 2" xfId="8450" xr:uid="{00000000-0005-0000-0000-0000F4200000}"/>
    <cellStyle name="Percent 3 2 2 7" xfId="8451" xr:uid="{00000000-0005-0000-0000-0000F5200000}"/>
    <cellStyle name="Percent 3 2 3" xfId="8452" xr:uid="{00000000-0005-0000-0000-0000F6200000}"/>
    <cellStyle name="Percent 3 2 3 2" xfId="8453" xr:uid="{00000000-0005-0000-0000-0000F7200000}"/>
    <cellStyle name="Percent 3 2 3 2 2" xfId="8454" xr:uid="{00000000-0005-0000-0000-0000F8200000}"/>
    <cellStyle name="Percent 3 2 3 2 2 2" xfId="8455" xr:uid="{00000000-0005-0000-0000-0000F9200000}"/>
    <cellStyle name="Percent 3 2 3 2 2 2 2" xfId="8456" xr:uid="{00000000-0005-0000-0000-0000FA200000}"/>
    <cellStyle name="Percent 3 2 3 2 2 3" xfId="8457" xr:uid="{00000000-0005-0000-0000-0000FB200000}"/>
    <cellStyle name="Percent 3 2 3 2 2 3 2" xfId="8458" xr:uid="{00000000-0005-0000-0000-0000FC200000}"/>
    <cellStyle name="Percent 3 2 3 2 2 4" xfId="8459" xr:uid="{00000000-0005-0000-0000-0000FD200000}"/>
    <cellStyle name="Percent 3 2 3 2 3" xfId="8460" xr:uid="{00000000-0005-0000-0000-0000FE200000}"/>
    <cellStyle name="Percent 3 2 3 2 3 2" xfId="8461" xr:uid="{00000000-0005-0000-0000-0000FF200000}"/>
    <cellStyle name="Percent 3 2 3 2 4" xfId="8462" xr:uid="{00000000-0005-0000-0000-000000210000}"/>
    <cellStyle name="Percent 3 2 3 2 4 2" xfId="8463" xr:uid="{00000000-0005-0000-0000-000001210000}"/>
    <cellStyle name="Percent 3 2 3 2 5" xfId="8464" xr:uid="{00000000-0005-0000-0000-000002210000}"/>
    <cellStyle name="Percent 3 2 3 3" xfId="8465" xr:uid="{00000000-0005-0000-0000-000003210000}"/>
    <cellStyle name="Percent 3 2 3 3 2" xfId="8466" xr:uid="{00000000-0005-0000-0000-000004210000}"/>
    <cellStyle name="Percent 3 2 3 3 2 2" xfId="8467" xr:uid="{00000000-0005-0000-0000-000005210000}"/>
    <cellStyle name="Percent 3 2 3 3 3" xfId="8468" xr:uid="{00000000-0005-0000-0000-000006210000}"/>
    <cellStyle name="Percent 3 2 3 3 3 2" xfId="8469" xr:uid="{00000000-0005-0000-0000-000007210000}"/>
    <cellStyle name="Percent 3 2 3 3 4" xfId="8470" xr:uid="{00000000-0005-0000-0000-000008210000}"/>
    <cellStyle name="Percent 3 2 3 4" xfId="8471" xr:uid="{00000000-0005-0000-0000-000009210000}"/>
    <cellStyle name="Percent 3 2 3 4 2" xfId="8472" xr:uid="{00000000-0005-0000-0000-00000A210000}"/>
    <cellStyle name="Percent 3 2 3 5" xfId="8473" xr:uid="{00000000-0005-0000-0000-00000B210000}"/>
    <cellStyle name="Percent 3 2 3 5 2" xfId="8474" xr:uid="{00000000-0005-0000-0000-00000C210000}"/>
    <cellStyle name="Percent 3 2 3 6" xfId="8475" xr:uid="{00000000-0005-0000-0000-00000D210000}"/>
    <cellStyle name="Percent 3 2 4" xfId="8476" xr:uid="{00000000-0005-0000-0000-00000E210000}"/>
    <cellStyle name="Percent 3 2 4 2" xfId="8477" xr:uid="{00000000-0005-0000-0000-00000F210000}"/>
    <cellStyle name="Percent 3 2 4 2 2" xfId="8478" xr:uid="{00000000-0005-0000-0000-000010210000}"/>
    <cellStyle name="Percent 3 2 4 2 2 2" xfId="8479" xr:uid="{00000000-0005-0000-0000-000011210000}"/>
    <cellStyle name="Percent 3 2 4 2 3" xfId="8480" xr:uid="{00000000-0005-0000-0000-000012210000}"/>
    <cellStyle name="Percent 3 2 4 2 3 2" xfId="8481" xr:uid="{00000000-0005-0000-0000-000013210000}"/>
    <cellStyle name="Percent 3 2 4 2 4" xfId="8482" xr:uid="{00000000-0005-0000-0000-000014210000}"/>
    <cellStyle name="Percent 3 2 4 3" xfId="8483" xr:uid="{00000000-0005-0000-0000-000015210000}"/>
    <cellStyle name="Percent 3 2 4 3 2" xfId="8484" xr:uid="{00000000-0005-0000-0000-000016210000}"/>
    <cellStyle name="Percent 3 2 4 4" xfId="8485" xr:uid="{00000000-0005-0000-0000-000017210000}"/>
    <cellStyle name="Percent 3 2 4 4 2" xfId="8486" xr:uid="{00000000-0005-0000-0000-000018210000}"/>
    <cellStyle name="Percent 3 2 4 5" xfId="8487" xr:uid="{00000000-0005-0000-0000-000019210000}"/>
    <cellStyle name="Percent 3 2 5" xfId="8488" xr:uid="{00000000-0005-0000-0000-00001A210000}"/>
    <cellStyle name="Percent 3 2 5 2" xfId="8489" xr:uid="{00000000-0005-0000-0000-00001B210000}"/>
    <cellStyle name="Percent 3 2 5 2 2" xfId="8490" xr:uid="{00000000-0005-0000-0000-00001C210000}"/>
    <cellStyle name="Percent 3 2 5 3" xfId="8491" xr:uid="{00000000-0005-0000-0000-00001D210000}"/>
    <cellStyle name="Percent 3 2 5 3 2" xfId="8492" xr:uid="{00000000-0005-0000-0000-00001E210000}"/>
    <cellStyle name="Percent 3 2 5 4" xfId="8493" xr:uid="{00000000-0005-0000-0000-00001F210000}"/>
    <cellStyle name="Percent 3 2 6" xfId="8494" xr:uid="{00000000-0005-0000-0000-000020210000}"/>
    <cellStyle name="Percent 3 2 6 2" xfId="8495" xr:uid="{00000000-0005-0000-0000-000021210000}"/>
    <cellStyle name="Percent 3 2 7" xfId="8496" xr:uid="{00000000-0005-0000-0000-000022210000}"/>
    <cellStyle name="Percent 3 2 7 2" xfId="8497" xr:uid="{00000000-0005-0000-0000-000023210000}"/>
    <cellStyle name="Percent 3 2 8" xfId="8498" xr:uid="{00000000-0005-0000-0000-000024210000}"/>
    <cellStyle name="Percent 3 3" xfId="8499" xr:uid="{00000000-0005-0000-0000-000025210000}"/>
    <cellStyle name="Percent 3 3 2" xfId="8500" xr:uid="{00000000-0005-0000-0000-000026210000}"/>
    <cellStyle name="Percent 3 3 2 2" xfId="8501" xr:uid="{00000000-0005-0000-0000-000027210000}"/>
    <cellStyle name="Percent 3 3 2 2 2" xfId="8502" xr:uid="{00000000-0005-0000-0000-000028210000}"/>
    <cellStyle name="Percent 3 3 2 2 2 2" xfId="8503" xr:uid="{00000000-0005-0000-0000-000029210000}"/>
    <cellStyle name="Percent 3 3 2 2 2 2 2" xfId="8504" xr:uid="{00000000-0005-0000-0000-00002A210000}"/>
    <cellStyle name="Percent 3 3 2 2 2 3" xfId="8505" xr:uid="{00000000-0005-0000-0000-00002B210000}"/>
    <cellStyle name="Percent 3 3 2 2 2 3 2" xfId="8506" xr:uid="{00000000-0005-0000-0000-00002C210000}"/>
    <cellStyle name="Percent 3 3 2 2 2 4" xfId="8507" xr:uid="{00000000-0005-0000-0000-00002D210000}"/>
    <cellStyle name="Percent 3 3 2 2 3" xfId="8508" xr:uid="{00000000-0005-0000-0000-00002E210000}"/>
    <cellStyle name="Percent 3 3 2 2 3 2" xfId="8509" xr:uid="{00000000-0005-0000-0000-00002F210000}"/>
    <cellStyle name="Percent 3 3 2 2 4" xfId="8510" xr:uid="{00000000-0005-0000-0000-000030210000}"/>
    <cellStyle name="Percent 3 3 2 2 4 2" xfId="8511" xr:uid="{00000000-0005-0000-0000-000031210000}"/>
    <cellStyle name="Percent 3 3 2 2 5" xfId="8512" xr:uid="{00000000-0005-0000-0000-000032210000}"/>
    <cellStyle name="Percent 3 3 2 3" xfId="8513" xr:uid="{00000000-0005-0000-0000-000033210000}"/>
    <cellStyle name="Percent 3 3 2 3 2" xfId="8514" xr:uid="{00000000-0005-0000-0000-000034210000}"/>
    <cellStyle name="Percent 3 3 2 3 2 2" xfId="8515" xr:uid="{00000000-0005-0000-0000-000035210000}"/>
    <cellStyle name="Percent 3 3 2 3 3" xfId="8516" xr:uid="{00000000-0005-0000-0000-000036210000}"/>
    <cellStyle name="Percent 3 3 2 3 3 2" xfId="8517" xr:uid="{00000000-0005-0000-0000-000037210000}"/>
    <cellStyle name="Percent 3 3 2 3 4" xfId="8518" xr:uid="{00000000-0005-0000-0000-000038210000}"/>
    <cellStyle name="Percent 3 3 2 4" xfId="8519" xr:uid="{00000000-0005-0000-0000-000039210000}"/>
    <cellStyle name="Percent 3 3 2 4 2" xfId="8520" xr:uid="{00000000-0005-0000-0000-00003A210000}"/>
    <cellStyle name="Percent 3 3 2 5" xfId="8521" xr:uid="{00000000-0005-0000-0000-00003B210000}"/>
    <cellStyle name="Percent 3 3 2 5 2" xfId="8522" xr:uid="{00000000-0005-0000-0000-00003C210000}"/>
    <cellStyle name="Percent 3 3 2 6" xfId="8523" xr:uid="{00000000-0005-0000-0000-00003D210000}"/>
    <cellStyle name="Percent 3 3 3" xfId="8524" xr:uid="{00000000-0005-0000-0000-00003E210000}"/>
    <cellStyle name="Percent 3 3 3 2" xfId="8525" xr:uid="{00000000-0005-0000-0000-00003F210000}"/>
    <cellStyle name="Percent 3 3 3 2 2" xfId="8526" xr:uid="{00000000-0005-0000-0000-000040210000}"/>
    <cellStyle name="Percent 3 3 3 2 2 2" xfId="8527" xr:uid="{00000000-0005-0000-0000-000041210000}"/>
    <cellStyle name="Percent 3 3 3 2 3" xfId="8528" xr:uid="{00000000-0005-0000-0000-000042210000}"/>
    <cellStyle name="Percent 3 3 3 2 3 2" xfId="8529" xr:uid="{00000000-0005-0000-0000-000043210000}"/>
    <cellStyle name="Percent 3 3 3 2 4" xfId="8530" xr:uid="{00000000-0005-0000-0000-000044210000}"/>
    <cellStyle name="Percent 3 3 3 3" xfId="8531" xr:uid="{00000000-0005-0000-0000-000045210000}"/>
    <cellStyle name="Percent 3 3 3 3 2" xfId="8532" xr:uid="{00000000-0005-0000-0000-000046210000}"/>
    <cellStyle name="Percent 3 3 3 4" xfId="8533" xr:uid="{00000000-0005-0000-0000-000047210000}"/>
    <cellStyle name="Percent 3 3 3 4 2" xfId="8534" xr:uid="{00000000-0005-0000-0000-000048210000}"/>
    <cellStyle name="Percent 3 3 3 5" xfId="8535" xr:uid="{00000000-0005-0000-0000-000049210000}"/>
    <cellStyle name="Percent 3 3 4" xfId="8536" xr:uid="{00000000-0005-0000-0000-00004A210000}"/>
    <cellStyle name="Percent 3 3 4 2" xfId="8537" xr:uid="{00000000-0005-0000-0000-00004B210000}"/>
    <cellStyle name="Percent 3 3 4 2 2" xfId="8538" xr:uid="{00000000-0005-0000-0000-00004C210000}"/>
    <cellStyle name="Percent 3 3 4 3" xfId="8539" xr:uid="{00000000-0005-0000-0000-00004D210000}"/>
    <cellStyle name="Percent 3 3 4 3 2" xfId="8540" xr:uid="{00000000-0005-0000-0000-00004E210000}"/>
    <cellStyle name="Percent 3 3 4 4" xfId="8541" xr:uid="{00000000-0005-0000-0000-00004F210000}"/>
    <cellStyle name="Percent 3 3 5" xfId="8542" xr:uid="{00000000-0005-0000-0000-000050210000}"/>
    <cellStyle name="Percent 3 3 5 2" xfId="8543" xr:uid="{00000000-0005-0000-0000-000051210000}"/>
    <cellStyle name="Percent 3 3 6" xfId="8544" xr:uid="{00000000-0005-0000-0000-000052210000}"/>
    <cellStyle name="Percent 3 3 6 2" xfId="8545" xr:uid="{00000000-0005-0000-0000-000053210000}"/>
    <cellStyle name="Percent 3 3 7" xfId="8546" xr:uid="{00000000-0005-0000-0000-000054210000}"/>
    <cellStyle name="Percent 3 4" xfId="8547" xr:uid="{00000000-0005-0000-0000-000055210000}"/>
    <cellStyle name="Percent 3 4 2" xfId="8548" xr:uid="{00000000-0005-0000-0000-000056210000}"/>
    <cellStyle name="Percent 3 4 2 2" xfId="8549" xr:uid="{00000000-0005-0000-0000-000057210000}"/>
    <cellStyle name="Percent 3 4 2 2 2" xfId="8550" xr:uid="{00000000-0005-0000-0000-000058210000}"/>
    <cellStyle name="Percent 3 4 2 2 2 2" xfId="8551" xr:uid="{00000000-0005-0000-0000-000059210000}"/>
    <cellStyle name="Percent 3 4 2 2 2 2 2" xfId="8552" xr:uid="{00000000-0005-0000-0000-00005A210000}"/>
    <cellStyle name="Percent 3 4 2 2 2 3" xfId="8553" xr:uid="{00000000-0005-0000-0000-00005B210000}"/>
    <cellStyle name="Percent 3 4 2 2 2 3 2" xfId="8554" xr:uid="{00000000-0005-0000-0000-00005C210000}"/>
    <cellStyle name="Percent 3 4 2 2 2 4" xfId="8555" xr:uid="{00000000-0005-0000-0000-00005D210000}"/>
    <cellStyle name="Percent 3 4 2 2 3" xfId="8556" xr:uid="{00000000-0005-0000-0000-00005E210000}"/>
    <cellStyle name="Percent 3 4 2 2 3 2" xfId="8557" xr:uid="{00000000-0005-0000-0000-00005F210000}"/>
    <cellStyle name="Percent 3 4 2 2 4" xfId="8558" xr:uid="{00000000-0005-0000-0000-000060210000}"/>
    <cellStyle name="Percent 3 4 2 2 4 2" xfId="8559" xr:uid="{00000000-0005-0000-0000-000061210000}"/>
    <cellStyle name="Percent 3 4 2 2 5" xfId="8560" xr:uid="{00000000-0005-0000-0000-000062210000}"/>
    <cellStyle name="Percent 3 4 2 3" xfId="8561" xr:uid="{00000000-0005-0000-0000-000063210000}"/>
    <cellStyle name="Percent 3 4 2 3 2" xfId="8562" xr:uid="{00000000-0005-0000-0000-000064210000}"/>
    <cellStyle name="Percent 3 4 2 3 2 2" xfId="8563" xr:uid="{00000000-0005-0000-0000-000065210000}"/>
    <cellStyle name="Percent 3 4 2 3 3" xfId="8564" xr:uid="{00000000-0005-0000-0000-000066210000}"/>
    <cellStyle name="Percent 3 4 2 3 3 2" xfId="8565" xr:uid="{00000000-0005-0000-0000-000067210000}"/>
    <cellStyle name="Percent 3 4 2 3 4" xfId="8566" xr:uid="{00000000-0005-0000-0000-000068210000}"/>
    <cellStyle name="Percent 3 4 2 4" xfId="8567" xr:uid="{00000000-0005-0000-0000-000069210000}"/>
    <cellStyle name="Percent 3 4 2 4 2" xfId="8568" xr:uid="{00000000-0005-0000-0000-00006A210000}"/>
    <cellStyle name="Percent 3 4 2 5" xfId="8569" xr:uid="{00000000-0005-0000-0000-00006B210000}"/>
    <cellStyle name="Percent 3 4 2 5 2" xfId="8570" xr:uid="{00000000-0005-0000-0000-00006C210000}"/>
    <cellStyle name="Percent 3 4 2 6" xfId="8571" xr:uid="{00000000-0005-0000-0000-00006D210000}"/>
    <cellStyle name="Percent 3 4 3" xfId="8572" xr:uid="{00000000-0005-0000-0000-00006E210000}"/>
    <cellStyle name="Percent 3 4 3 2" xfId="8573" xr:uid="{00000000-0005-0000-0000-00006F210000}"/>
    <cellStyle name="Percent 3 4 3 2 2" xfId="8574" xr:uid="{00000000-0005-0000-0000-000070210000}"/>
    <cellStyle name="Percent 3 4 3 2 2 2" xfId="8575" xr:uid="{00000000-0005-0000-0000-000071210000}"/>
    <cellStyle name="Percent 3 4 3 2 3" xfId="8576" xr:uid="{00000000-0005-0000-0000-000072210000}"/>
    <cellStyle name="Percent 3 4 3 2 3 2" xfId="8577" xr:uid="{00000000-0005-0000-0000-000073210000}"/>
    <cellStyle name="Percent 3 4 3 2 4" xfId="8578" xr:uid="{00000000-0005-0000-0000-000074210000}"/>
    <cellStyle name="Percent 3 4 3 3" xfId="8579" xr:uid="{00000000-0005-0000-0000-000075210000}"/>
    <cellStyle name="Percent 3 4 3 3 2" xfId="8580" xr:uid="{00000000-0005-0000-0000-000076210000}"/>
    <cellStyle name="Percent 3 4 3 4" xfId="8581" xr:uid="{00000000-0005-0000-0000-000077210000}"/>
    <cellStyle name="Percent 3 4 3 4 2" xfId="8582" xr:uid="{00000000-0005-0000-0000-000078210000}"/>
    <cellStyle name="Percent 3 4 3 5" xfId="8583" xr:uid="{00000000-0005-0000-0000-000079210000}"/>
    <cellStyle name="Percent 3 4 4" xfId="8584" xr:uid="{00000000-0005-0000-0000-00007A210000}"/>
    <cellStyle name="Percent 3 4 4 2" xfId="8585" xr:uid="{00000000-0005-0000-0000-00007B210000}"/>
    <cellStyle name="Percent 3 4 4 2 2" xfId="8586" xr:uid="{00000000-0005-0000-0000-00007C210000}"/>
    <cellStyle name="Percent 3 4 4 3" xfId="8587" xr:uid="{00000000-0005-0000-0000-00007D210000}"/>
    <cellStyle name="Percent 3 4 4 3 2" xfId="8588" xr:uid="{00000000-0005-0000-0000-00007E210000}"/>
    <cellStyle name="Percent 3 4 4 4" xfId="8589" xr:uid="{00000000-0005-0000-0000-00007F210000}"/>
    <cellStyle name="Percent 3 4 5" xfId="8590" xr:uid="{00000000-0005-0000-0000-000080210000}"/>
    <cellStyle name="Percent 3 4 5 2" xfId="8591" xr:uid="{00000000-0005-0000-0000-000081210000}"/>
    <cellStyle name="Percent 3 4 6" xfId="8592" xr:uid="{00000000-0005-0000-0000-000082210000}"/>
    <cellStyle name="Percent 3 4 6 2" xfId="8593" xr:uid="{00000000-0005-0000-0000-000083210000}"/>
    <cellStyle name="Percent 3 4 7" xfId="8594" xr:uid="{00000000-0005-0000-0000-000084210000}"/>
    <cellStyle name="Percent 3 5" xfId="8595" xr:uid="{00000000-0005-0000-0000-000085210000}"/>
    <cellStyle name="Percent 3 5 2" xfId="8596" xr:uid="{00000000-0005-0000-0000-000086210000}"/>
    <cellStyle name="Percent 3 6" xfId="8597" xr:uid="{00000000-0005-0000-0000-000087210000}"/>
    <cellStyle name="Percent 3 6 2" xfId="8598" xr:uid="{00000000-0005-0000-0000-000088210000}"/>
    <cellStyle name="Percent 3 6 2 2" xfId="8599" xr:uid="{00000000-0005-0000-0000-000089210000}"/>
    <cellStyle name="Percent 3 6 2 2 2" xfId="8600" xr:uid="{00000000-0005-0000-0000-00008A210000}"/>
    <cellStyle name="Percent 3 6 2 3" xfId="8601" xr:uid="{00000000-0005-0000-0000-00008B210000}"/>
    <cellStyle name="Percent 3 6 2 3 2" xfId="8602" xr:uid="{00000000-0005-0000-0000-00008C210000}"/>
    <cellStyle name="Percent 3 6 2 4" xfId="8603" xr:uid="{00000000-0005-0000-0000-00008D210000}"/>
    <cellStyle name="Percent 3 6 3" xfId="8604" xr:uid="{00000000-0005-0000-0000-00008E210000}"/>
    <cellStyle name="Percent 3 6 3 2" xfId="8605" xr:uid="{00000000-0005-0000-0000-00008F210000}"/>
    <cellStyle name="Percent 3 6 4" xfId="8606" xr:uid="{00000000-0005-0000-0000-000090210000}"/>
    <cellStyle name="Percent 3 6 4 2" xfId="8607" xr:uid="{00000000-0005-0000-0000-000091210000}"/>
    <cellStyle name="Percent 3 6 5" xfId="8608" xr:uid="{00000000-0005-0000-0000-000092210000}"/>
    <cellStyle name="Percent 3 7" xfId="8609" xr:uid="{00000000-0005-0000-0000-000093210000}"/>
    <cellStyle name="Percent 3 7 2" xfId="8610" xr:uid="{00000000-0005-0000-0000-000094210000}"/>
    <cellStyle name="Percent 3 7 2 2" xfId="8611" xr:uid="{00000000-0005-0000-0000-000095210000}"/>
    <cellStyle name="Percent 3 7 3" xfId="8612" xr:uid="{00000000-0005-0000-0000-000096210000}"/>
    <cellStyle name="Percent 3 7 3 2" xfId="8613" xr:uid="{00000000-0005-0000-0000-000097210000}"/>
    <cellStyle name="Percent 3 7 4" xfId="8614" xr:uid="{00000000-0005-0000-0000-000098210000}"/>
    <cellStyle name="Percent 3 8" xfId="8615" xr:uid="{00000000-0005-0000-0000-000099210000}"/>
    <cellStyle name="Percent 3 8 2" xfId="8616" xr:uid="{00000000-0005-0000-0000-00009A210000}"/>
    <cellStyle name="Percent 3 9" xfId="8617" xr:uid="{00000000-0005-0000-0000-00009B210000}"/>
    <cellStyle name="Percent 3 9 2" xfId="8618" xr:uid="{00000000-0005-0000-0000-00009C210000}"/>
    <cellStyle name="Percent 4" xfId="111" xr:uid="{00000000-0005-0000-0000-00009D210000}"/>
    <cellStyle name="Percent 4 2" xfId="112" xr:uid="{00000000-0005-0000-0000-00009E210000}"/>
    <cellStyle name="Percent 4 2 2" xfId="8621" xr:uid="{00000000-0005-0000-0000-00009F210000}"/>
    <cellStyle name="Percent 4 2 3" xfId="8620" xr:uid="{00000000-0005-0000-0000-0000A0210000}"/>
    <cellStyle name="Percent 4 3" xfId="8622" xr:uid="{00000000-0005-0000-0000-0000A1210000}"/>
    <cellStyle name="Percent 4 3 2" xfId="8623" xr:uid="{00000000-0005-0000-0000-0000A2210000}"/>
    <cellStyle name="Percent 4 4" xfId="8624" xr:uid="{00000000-0005-0000-0000-0000A3210000}"/>
    <cellStyle name="Percent 4 4 2" xfId="8625" xr:uid="{00000000-0005-0000-0000-0000A4210000}"/>
    <cellStyle name="Percent 4 4 2 2" xfId="8626" xr:uid="{00000000-0005-0000-0000-0000A5210000}"/>
    <cellStyle name="Percent 4 4 3" xfId="8627" xr:uid="{00000000-0005-0000-0000-0000A6210000}"/>
    <cellStyle name="Percent 4 5" xfId="8628" xr:uid="{00000000-0005-0000-0000-0000A7210000}"/>
    <cellStyle name="Percent 4 6" xfId="8619" xr:uid="{00000000-0005-0000-0000-0000A8210000}"/>
    <cellStyle name="Percent 5" xfId="8629" xr:uid="{00000000-0005-0000-0000-0000A9210000}"/>
    <cellStyle name="Percent 5 2" xfId="8630" xr:uid="{00000000-0005-0000-0000-0000AA210000}"/>
    <cellStyle name="Percent 5 2 2" xfId="8631" xr:uid="{00000000-0005-0000-0000-0000AB210000}"/>
    <cellStyle name="Percent 5 2 2 2" xfId="8632" xr:uid="{00000000-0005-0000-0000-0000AC210000}"/>
    <cellStyle name="Percent 5 2 2 2 2" xfId="8633" xr:uid="{00000000-0005-0000-0000-0000AD210000}"/>
    <cellStyle name="Percent 5 2 2 2 2 2" xfId="8634" xr:uid="{00000000-0005-0000-0000-0000AE210000}"/>
    <cellStyle name="Percent 5 2 2 2 2 2 2" xfId="8635" xr:uid="{00000000-0005-0000-0000-0000AF210000}"/>
    <cellStyle name="Percent 5 2 2 2 2 3" xfId="8636" xr:uid="{00000000-0005-0000-0000-0000B0210000}"/>
    <cellStyle name="Percent 5 2 2 2 2 3 2" xfId="8637" xr:uid="{00000000-0005-0000-0000-0000B1210000}"/>
    <cellStyle name="Percent 5 2 2 2 2 4" xfId="8638" xr:uid="{00000000-0005-0000-0000-0000B2210000}"/>
    <cellStyle name="Percent 5 2 2 2 3" xfId="8639" xr:uid="{00000000-0005-0000-0000-0000B3210000}"/>
    <cellStyle name="Percent 5 2 2 2 3 2" xfId="8640" xr:uid="{00000000-0005-0000-0000-0000B4210000}"/>
    <cellStyle name="Percent 5 2 2 2 4" xfId="8641" xr:uid="{00000000-0005-0000-0000-0000B5210000}"/>
    <cellStyle name="Percent 5 2 2 2 4 2" xfId="8642" xr:uid="{00000000-0005-0000-0000-0000B6210000}"/>
    <cellStyle name="Percent 5 2 2 2 5" xfId="8643" xr:uid="{00000000-0005-0000-0000-0000B7210000}"/>
    <cellStyle name="Percent 5 2 2 3" xfId="8644" xr:uid="{00000000-0005-0000-0000-0000B8210000}"/>
    <cellStyle name="Percent 5 2 2 3 2" xfId="8645" xr:uid="{00000000-0005-0000-0000-0000B9210000}"/>
    <cellStyle name="Percent 5 2 2 3 2 2" xfId="8646" xr:uid="{00000000-0005-0000-0000-0000BA210000}"/>
    <cellStyle name="Percent 5 2 2 3 3" xfId="8647" xr:uid="{00000000-0005-0000-0000-0000BB210000}"/>
    <cellStyle name="Percent 5 2 2 3 3 2" xfId="8648" xr:uid="{00000000-0005-0000-0000-0000BC210000}"/>
    <cellStyle name="Percent 5 2 2 3 4" xfId="8649" xr:uid="{00000000-0005-0000-0000-0000BD210000}"/>
    <cellStyle name="Percent 5 2 2 4" xfId="8650" xr:uid="{00000000-0005-0000-0000-0000BE210000}"/>
    <cellStyle name="Percent 5 2 2 4 2" xfId="8651" xr:uid="{00000000-0005-0000-0000-0000BF210000}"/>
    <cellStyle name="Percent 5 2 2 5" xfId="8652" xr:uid="{00000000-0005-0000-0000-0000C0210000}"/>
    <cellStyle name="Percent 5 2 2 5 2" xfId="8653" xr:uid="{00000000-0005-0000-0000-0000C1210000}"/>
    <cellStyle name="Percent 5 2 2 6" xfId="8654" xr:uid="{00000000-0005-0000-0000-0000C2210000}"/>
    <cellStyle name="Percent 5 2 3" xfId="8655" xr:uid="{00000000-0005-0000-0000-0000C3210000}"/>
    <cellStyle name="Percent 5 2 3 2" xfId="8656" xr:uid="{00000000-0005-0000-0000-0000C4210000}"/>
    <cellStyle name="Percent 5 2 3 2 2" xfId="8657" xr:uid="{00000000-0005-0000-0000-0000C5210000}"/>
    <cellStyle name="Percent 5 2 3 2 2 2" xfId="8658" xr:uid="{00000000-0005-0000-0000-0000C6210000}"/>
    <cellStyle name="Percent 5 2 3 2 3" xfId="8659" xr:uid="{00000000-0005-0000-0000-0000C7210000}"/>
    <cellStyle name="Percent 5 2 3 2 3 2" xfId="8660" xr:uid="{00000000-0005-0000-0000-0000C8210000}"/>
    <cellStyle name="Percent 5 2 3 2 4" xfId="8661" xr:uid="{00000000-0005-0000-0000-0000C9210000}"/>
    <cellStyle name="Percent 5 2 3 3" xfId="8662" xr:uid="{00000000-0005-0000-0000-0000CA210000}"/>
    <cellStyle name="Percent 5 2 3 3 2" xfId="8663" xr:uid="{00000000-0005-0000-0000-0000CB210000}"/>
    <cellStyle name="Percent 5 2 3 4" xfId="8664" xr:uid="{00000000-0005-0000-0000-0000CC210000}"/>
    <cellStyle name="Percent 5 2 3 4 2" xfId="8665" xr:uid="{00000000-0005-0000-0000-0000CD210000}"/>
    <cellStyle name="Percent 5 2 3 5" xfId="8666" xr:uid="{00000000-0005-0000-0000-0000CE210000}"/>
    <cellStyle name="Percent 5 2 4" xfId="8667" xr:uid="{00000000-0005-0000-0000-0000CF210000}"/>
    <cellStyle name="Percent 5 2 4 2" xfId="8668" xr:uid="{00000000-0005-0000-0000-0000D0210000}"/>
    <cellStyle name="Percent 5 2 4 2 2" xfId="8669" xr:uid="{00000000-0005-0000-0000-0000D1210000}"/>
    <cellStyle name="Percent 5 2 4 3" xfId="8670" xr:uid="{00000000-0005-0000-0000-0000D2210000}"/>
    <cellStyle name="Percent 5 2 4 3 2" xfId="8671" xr:uid="{00000000-0005-0000-0000-0000D3210000}"/>
    <cellStyle name="Percent 5 2 4 4" xfId="8672" xr:uid="{00000000-0005-0000-0000-0000D4210000}"/>
    <cellStyle name="Percent 5 2 5" xfId="8673" xr:uid="{00000000-0005-0000-0000-0000D5210000}"/>
    <cellStyle name="Percent 5 2 5 2" xfId="8674" xr:uid="{00000000-0005-0000-0000-0000D6210000}"/>
    <cellStyle name="Percent 5 2 6" xfId="8675" xr:uid="{00000000-0005-0000-0000-0000D7210000}"/>
    <cellStyle name="Percent 5 2 6 2" xfId="8676" xr:uid="{00000000-0005-0000-0000-0000D8210000}"/>
    <cellStyle name="Percent 5 2 7" xfId="8677" xr:uid="{00000000-0005-0000-0000-0000D9210000}"/>
    <cellStyle name="Percent 5 3" xfId="8678" xr:uid="{00000000-0005-0000-0000-0000DA210000}"/>
    <cellStyle name="Percent 5 3 2" xfId="8679" xr:uid="{00000000-0005-0000-0000-0000DB210000}"/>
    <cellStyle name="Percent 5 3 2 2" xfId="8680" xr:uid="{00000000-0005-0000-0000-0000DC210000}"/>
    <cellStyle name="Percent 5 3 2 2 2" xfId="8681" xr:uid="{00000000-0005-0000-0000-0000DD210000}"/>
    <cellStyle name="Percent 5 3 2 2 2 2" xfId="8682" xr:uid="{00000000-0005-0000-0000-0000DE210000}"/>
    <cellStyle name="Percent 5 3 2 2 3" xfId="8683" xr:uid="{00000000-0005-0000-0000-0000DF210000}"/>
    <cellStyle name="Percent 5 3 2 2 3 2" xfId="8684" xr:uid="{00000000-0005-0000-0000-0000E0210000}"/>
    <cellStyle name="Percent 5 3 2 2 4" xfId="8685" xr:uid="{00000000-0005-0000-0000-0000E1210000}"/>
    <cellStyle name="Percent 5 3 2 3" xfId="8686" xr:uid="{00000000-0005-0000-0000-0000E2210000}"/>
    <cellStyle name="Percent 5 3 2 3 2" xfId="8687" xr:uid="{00000000-0005-0000-0000-0000E3210000}"/>
    <cellStyle name="Percent 5 3 2 4" xfId="8688" xr:uid="{00000000-0005-0000-0000-0000E4210000}"/>
    <cellStyle name="Percent 5 3 2 4 2" xfId="8689" xr:uid="{00000000-0005-0000-0000-0000E5210000}"/>
    <cellStyle name="Percent 5 3 2 5" xfId="8690" xr:uid="{00000000-0005-0000-0000-0000E6210000}"/>
    <cellStyle name="Percent 5 3 3" xfId="8691" xr:uid="{00000000-0005-0000-0000-0000E7210000}"/>
    <cellStyle name="Percent 5 3 3 2" xfId="8692" xr:uid="{00000000-0005-0000-0000-0000E8210000}"/>
    <cellStyle name="Percent 5 3 3 2 2" xfId="8693" xr:uid="{00000000-0005-0000-0000-0000E9210000}"/>
    <cellStyle name="Percent 5 3 3 3" xfId="8694" xr:uid="{00000000-0005-0000-0000-0000EA210000}"/>
    <cellStyle name="Percent 5 3 3 3 2" xfId="8695" xr:uid="{00000000-0005-0000-0000-0000EB210000}"/>
    <cellStyle name="Percent 5 3 3 4" xfId="8696" xr:uid="{00000000-0005-0000-0000-0000EC210000}"/>
    <cellStyle name="Percent 5 3 4" xfId="8697" xr:uid="{00000000-0005-0000-0000-0000ED210000}"/>
    <cellStyle name="Percent 5 3 4 2" xfId="8698" xr:uid="{00000000-0005-0000-0000-0000EE210000}"/>
    <cellStyle name="Percent 5 3 5" xfId="8699" xr:uid="{00000000-0005-0000-0000-0000EF210000}"/>
    <cellStyle name="Percent 5 3 5 2" xfId="8700" xr:uid="{00000000-0005-0000-0000-0000F0210000}"/>
    <cellStyle name="Percent 5 3 6" xfId="8701" xr:uid="{00000000-0005-0000-0000-0000F1210000}"/>
    <cellStyle name="Percent 5 4" xfId="8702" xr:uid="{00000000-0005-0000-0000-0000F2210000}"/>
    <cellStyle name="Percent 5 4 2" xfId="8703" xr:uid="{00000000-0005-0000-0000-0000F3210000}"/>
    <cellStyle name="Percent 5 4 2 2" xfId="8704" xr:uid="{00000000-0005-0000-0000-0000F4210000}"/>
    <cellStyle name="Percent 5 4 2 2 2" xfId="8705" xr:uid="{00000000-0005-0000-0000-0000F5210000}"/>
    <cellStyle name="Percent 5 4 2 3" xfId="8706" xr:uid="{00000000-0005-0000-0000-0000F6210000}"/>
    <cellStyle name="Percent 5 4 2 3 2" xfId="8707" xr:uid="{00000000-0005-0000-0000-0000F7210000}"/>
    <cellStyle name="Percent 5 4 2 4" xfId="8708" xr:uid="{00000000-0005-0000-0000-0000F8210000}"/>
    <cellStyle name="Percent 5 4 3" xfId="8709" xr:uid="{00000000-0005-0000-0000-0000F9210000}"/>
    <cellStyle name="Percent 5 4 3 2" xfId="8710" xr:uid="{00000000-0005-0000-0000-0000FA210000}"/>
    <cellStyle name="Percent 5 4 4" xfId="8711" xr:uid="{00000000-0005-0000-0000-0000FB210000}"/>
    <cellStyle name="Percent 5 4 4 2" xfId="8712" xr:uid="{00000000-0005-0000-0000-0000FC210000}"/>
    <cellStyle name="Percent 5 4 5" xfId="8713" xr:uid="{00000000-0005-0000-0000-0000FD210000}"/>
    <cellStyle name="Percent 5 5" xfId="8714" xr:uid="{00000000-0005-0000-0000-0000FE210000}"/>
    <cellStyle name="Percent 5 5 2" xfId="8715" xr:uid="{00000000-0005-0000-0000-0000FF210000}"/>
    <cellStyle name="Percent 5 5 2 2" xfId="8716" xr:uid="{00000000-0005-0000-0000-000000220000}"/>
    <cellStyle name="Percent 5 5 3" xfId="8717" xr:uid="{00000000-0005-0000-0000-000001220000}"/>
    <cellStyle name="Percent 5 5 3 2" xfId="8718" xr:uid="{00000000-0005-0000-0000-000002220000}"/>
    <cellStyle name="Percent 5 5 4" xfId="8719" xr:uid="{00000000-0005-0000-0000-000003220000}"/>
    <cellStyle name="Percent 5 6" xfId="8720" xr:uid="{00000000-0005-0000-0000-000004220000}"/>
    <cellStyle name="Percent 5 6 2" xfId="8721" xr:uid="{00000000-0005-0000-0000-000005220000}"/>
    <cellStyle name="Percent 5 7" xfId="8722" xr:uid="{00000000-0005-0000-0000-000006220000}"/>
    <cellStyle name="Percent 5 7 2" xfId="8723" xr:uid="{00000000-0005-0000-0000-000007220000}"/>
    <cellStyle name="Percent 5 8" xfId="8724" xr:uid="{00000000-0005-0000-0000-000008220000}"/>
    <cellStyle name="Percent 6" xfId="8725" xr:uid="{00000000-0005-0000-0000-000009220000}"/>
    <cellStyle name="Percent 6 2" xfId="8726" xr:uid="{00000000-0005-0000-0000-00000A220000}"/>
    <cellStyle name="Percent 6 2 2" xfId="8727" xr:uid="{00000000-0005-0000-0000-00000B220000}"/>
    <cellStyle name="Percent 6 2 2 2" xfId="8728" xr:uid="{00000000-0005-0000-0000-00000C220000}"/>
    <cellStyle name="Percent 6 2 2 2 2" xfId="8729" xr:uid="{00000000-0005-0000-0000-00000D220000}"/>
    <cellStyle name="Percent 6 2 2 2 2 2" xfId="8730" xr:uid="{00000000-0005-0000-0000-00000E220000}"/>
    <cellStyle name="Percent 6 2 2 2 3" xfId="8731" xr:uid="{00000000-0005-0000-0000-00000F220000}"/>
    <cellStyle name="Percent 6 2 2 2 3 2" xfId="8732" xr:uid="{00000000-0005-0000-0000-000010220000}"/>
    <cellStyle name="Percent 6 2 2 2 4" xfId="8733" xr:uid="{00000000-0005-0000-0000-000011220000}"/>
    <cellStyle name="Percent 6 2 2 3" xfId="8734" xr:uid="{00000000-0005-0000-0000-000012220000}"/>
    <cellStyle name="Percent 6 2 2 3 2" xfId="8735" xr:uid="{00000000-0005-0000-0000-000013220000}"/>
    <cellStyle name="Percent 6 2 2 4" xfId="8736" xr:uid="{00000000-0005-0000-0000-000014220000}"/>
    <cellStyle name="Percent 6 2 2 4 2" xfId="8737" xr:uid="{00000000-0005-0000-0000-000015220000}"/>
    <cellStyle name="Percent 6 2 2 5" xfId="8738" xr:uid="{00000000-0005-0000-0000-000016220000}"/>
    <cellStyle name="Percent 6 2 3" xfId="8739" xr:uid="{00000000-0005-0000-0000-000017220000}"/>
    <cellStyle name="Percent 6 2 3 2" xfId="8740" xr:uid="{00000000-0005-0000-0000-000018220000}"/>
    <cellStyle name="Percent 6 2 3 2 2" xfId="8741" xr:uid="{00000000-0005-0000-0000-000019220000}"/>
    <cellStyle name="Percent 6 2 3 3" xfId="8742" xr:uid="{00000000-0005-0000-0000-00001A220000}"/>
    <cellStyle name="Percent 6 2 3 3 2" xfId="8743" xr:uid="{00000000-0005-0000-0000-00001B220000}"/>
    <cellStyle name="Percent 6 2 3 4" xfId="8744" xr:uid="{00000000-0005-0000-0000-00001C220000}"/>
    <cellStyle name="Percent 6 2 4" xfId="8745" xr:uid="{00000000-0005-0000-0000-00001D220000}"/>
    <cellStyle name="Percent 6 2 4 2" xfId="8746" xr:uid="{00000000-0005-0000-0000-00001E220000}"/>
    <cellStyle name="Percent 6 2 5" xfId="8747" xr:uid="{00000000-0005-0000-0000-00001F220000}"/>
    <cellStyle name="Percent 6 2 5 2" xfId="8748" xr:uid="{00000000-0005-0000-0000-000020220000}"/>
    <cellStyle name="Percent 6 2 6" xfId="8749" xr:uid="{00000000-0005-0000-0000-000021220000}"/>
    <cellStyle name="Percent 6 3" xfId="8750" xr:uid="{00000000-0005-0000-0000-000022220000}"/>
    <cellStyle name="Percent 6 3 2" xfId="8751" xr:uid="{00000000-0005-0000-0000-000023220000}"/>
    <cellStyle name="Percent 6 3 2 2" xfId="8752" xr:uid="{00000000-0005-0000-0000-000024220000}"/>
    <cellStyle name="Percent 6 3 2 2 2" xfId="8753" xr:uid="{00000000-0005-0000-0000-000025220000}"/>
    <cellStyle name="Percent 6 3 2 3" xfId="8754" xr:uid="{00000000-0005-0000-0000-000026220000}"/>
    <cellStyle name="Percent 6 3 2 3 2" xfId="8755" xr:uid="{00000000-0005-0000-0000-000027220000}"/>
    <cellStyle name="Percent 6 3 2 4" xfId="8756" xr:uid="{00000000-0005-0000-0000-000028220000}"/>
    <cellStyle name="Percent 6 3 3" xfId="8757" xr:uid="{00000000-0005-0000-0000-000029220000}"/>
    <cellStyle name="Percent 6 3 3 2" xfId="8758" xr:uid="{00000000-0005-0000-0000-00002A220000}"/>
    <cellStyle name="Percent 6 3 4" xfId="8759" xr:uid="{00000000-0005-0000-0000-00002B220000}"/>
    <cellStyle name="Percent 6 3 4 2" xfId="8760" xr:uid="{00000000-0005-0000-0000-00002C220000}"/>
    <cellStyle name="Percent 6 3 5" xfId="8761" xr:uid="{00000000-0005-0000-0000-00002D220000}"/>
    <cellStyle name="Percent 6 4" xfId="8762" xr:uid="{00000000-0005-0000-0000-00002E220000}"/>
    <cellStyle name="Percent 6 4 2" xfId="8763" xr:uid="{00000000-0005-0000-0000-00002F220000}"/>
    <cellStyle name="Percent 6 4 2 2" xfId="8764" xr:uid="{00000000-0005-0000-0000-000030220000}"/>
    <cellStyle name="Percent 6 4 3" xfId="8765" xr:uid="{00000000-0005-0000-0000-000031220000}"/>
    <cellStyle name="Percent 6 4 3 2" xfId="8766" xr:uid="{00000000-0005-0000-0000-000032220000}"/>
    <cellStyle name="Percent 6 4 4" xfId="8767" xr:uid="{00000000-0005-0000-0000-000033220000}"/>
    <cellStyle name="Percent 6 5" xfId="8768" xr:uid="{00000000-0005-0000-0000-000034220000}"/>
    <cellStyle name="Percent 6 5 2" xfId="8769" xr:uid="{00000000-0005-0000-0000-000035220000}"/>
    <cellStyle name="Percent 6 6" xfId="8770" xr:uid="{00000000-0005-0000-0000-000036220000}"/>
    <cellStyle name="Percent 6 6 2" xfId="8771" xr:uid="{00000000-0005-0000-0000-000037220000}"/>
    <cellStyle name="Percent 6 7" xfId="8772" xr:uid="{00000000-0005-0000-0000-000038220000}"/>
    <cellStyle name="Percent 7" xfId="113" xr:uid="{00000000-0005-0000-0000-000039220000}"/>
    <cellStyle name="Percent 7 2" xfId="8774" xr:uid="{00000000-0005-0000-0000-00003A220000}"/>
    <cellStyle name="Percent 7 2 2" xfId="8775" xr:uid="{00000000-0005-0000-0000-00003B220000}"/>
    <cellStyle name="Percent 7 2 2 2" xfId="8776" xr:uid="{00000000-0005-0000-0000-00003C220000}"/>
    <cellStyle name="Percent 7 2 2 2 2" xfId="8777" xr:uid="{00000000-0005-0000-0000-00003D220000}"/>
    <cellStyle name="Percent 7 2 2 2 2 2" xfId="8778" xr:uid="{00000000-0005-0000-0000-00003E220000}"/>
    <cellStyle name="Percent 7 2 2 2 3" xfId="8779" xr:uid="{00000000-0005-0000-0000-00003F220000}"/>
    <cellStyle name="Percent 7 2 2 2 3 2" xfId="8780" xr:uid="{00000000-0005-0000-0000-000040220000}"/>
    <cellStyle name="Percent 7 2 2 2 4" xfId="8781" xr:uid="{00000000-0005-0000-0000-000041220000}"/>
    <cellStyle name="Percent 7 2 2 3" xfId="8782" xr:uid="{00000000-0005-0000-0000-000042220000}"/>
    <cellStyle name="Percent 7 2 2 3 2" xfId="8783" xr:uid="{00000000-0005-0000-0000-000043220000}"/>
    <cellStyle name="Percent 7 2 2 4" xfId="8784" xr:uid="{00000000-0005-0000-0000-000044220000}"/>
    <cellStyle name="Percent 7 2 2 4 2" xfId="8785" xr:uid="{00000000-0005-0000-0000-000045220000}"/>
    <cellStyle name="Percent 7 2 2 5" xfId="8786" xr:uid="{00000000-0005-0000-0000-000046220000}"/>
    <cellStyle name="Percent 7 2 3" xfId="8787" xr:uid="{00000000-0005-0000-0000-000047220000}"/>
    <cellStyle name="Percent 7 2 3 2" xfId="8788" xr:uid="{00000000-0005-0000-0000-000048220000}"/>
    <cellStyle name="Percent 7 2 3 2 2" xfId="8789" xr:uid="{00000000-0005-0000-0000-000049220000}"/>
    <cellStyle name="Percent 7 2 3 3" xfId="8790" xr:uid="{00000000-0005-0000-0000-00004A220000}"/>
    <cellStyle name="Percent 7 2 3 3 2" xfId="8791" xr:uid="{00000000-0005-0000-0000-00004B220000}"/>
    <cellStyle name="Percent 7 2 3 4" xfId="8792" xr:uid="{00000000-0005-0000-0000-00004C220000}"/>
    <cellStyle name="Percent 7 2 4" xfId="8793" xr:uid="{00000000-0005-0000-0000-00004D220000}"/>
    <cellStyle name="Percent 7 2 4 2" xfId="8794" xr:uid="{00000000-0005-0000-0000-00004E220000}"/>
    <cellStyle name="Percent 7 2 5" xfId="8795" xr:uid="{00000000-0005-0000-0000-00004F220000}"/>
    <cellStyle name="Percent 7 2 5 2" xfId="8796" xr:uid="{00000000-0005-0000-0000-000050220000}"/>
    <cellStyle name="Percent 7 2 6" xfId="8797" xr:uid="{00000000-0005-0000-0000-000051220000}"/>
    <cellStyle name="Percent 7 3" xfId="8798" xr:uid="{00000000-0005-0000-0000-000052220000}"/>
    <cellStyle name="Percent 7 3 2" xfId="8799" xr:uid="{00000000-0005-0000-0000-000053220000}"/>
    <cellStyle name="Percent 7 3 2 2" xfId="8800" xr:uid="{00000000-0005-0000-0000-000054220000}"/>
    <cellStyle name="Percent 7 3 2 2 2" xfId="8801" xr:uid="{00000000-0005-0000-0000-000055220000}"/>
    <cellStyle name="Percent 7 3 2 3" xfId="8802" xr:uid="{00000000-0005-0000-0000-000056220000}"/>
    <cellStyle name="Percent 7 3 2 3 2" xfId="8803" xr:uid="{00000000-0005-0000-0000-000057220000}"/>
    <cellStyle name="Percent 7 3 2 4" xfId="8804" xr:uid="{00000000-0005-0000-0000-000058220000}"/>
    <cellStyle name="Percent 7 3 3" xfId="8805" xr:uid="{00000000-0005-0000-0000-000059220000}"/>
    <cellStyle name="Percent 7 3 3 2" xfId="8806" xr:uid="{00000000-0005-0000-0000-00005A220000}"/>
    <cellStyle name="Percent 7 3 4" xfId="8807" xr:uid="{00000000-0005-0000-0000-00005B220000}"/>
    <cellStyle name="Percent 7 3 4 2" xfId="8808" xr:uid="{00000000-0005-0000-0000-00005C220000}"/>
    <cellStyle name="Percent 7 3 5" xfId="8809" xr:uid="{00000000-0005-0000-0000-00005D220000}"/>
    <cellStyle name="Percent 7 4" xfId="8810" xr:uid="{00000000-0005-0000-0000-00005E220000}"/>
    <cellStyle name="Percent 7 4 2" xfId="8811" xr:uid="{00000000-0005-0000-0000-00005F220000}"/>
    <cellStyle name="Percent 7 4 2 2" xfId="8812" xr:uid="{00000000-0005-0000-0000-000060220000}"/>
    <cellStyle name="Percent 7 4 3" xfId="8813" xr:uid="{00000000-0005-0000-0000-000061220000}"/>
    <cellStyle name="Percent 7 4 3 2" xfId="8814" xr:uid="{00000000-0005-0000-0000-000062220000}"/>
    <cellStyle name="Percent 7 4 4" xfId="8815" xr:uid="{00000000-0005-0000-0000-000063220000}"/>
    <cellStyle name="Percent 7 5" xfId="8816" xr:uid="{00000000-0005-0000-0000-000064220000}"/>
    <cellStyle name="Percent 7 5 2" xfId="8817" xr:uid="{00000000-0005-0000-0000-000065220000}"/>
    <cellStyle name="Percent 7 6" xfId="8818" xr:uid="{00000000-0005-0000-0000-000066220000}"/>
    <cellStyle name="Percent 7 6 2" xfId="8819" xr:uid="{00000000-0005-0000-0000-000067220000}"/>
    <cellStyle name="Percent 7 7" xfId="8820" xr:uid="{00000000-0005-0000-0000-000068220000}"/>
    <cellStyle name="Percent 7 8" xfId="8773" xr:uid="{00000000-0005-0000-0000-000069220000}"/>
    <cellStyle name="Percent 8" xfId="8821" xr:uid="{00000000-0005-0000-0000-00006A220000}"/>
    <cellStyle name="Percent 8 2" xfId="8822" xr:uid="{00000000-0005-0000-0000-00006B220000}"/>
    <cellStyle name="Percent 8 2 2" xfId="8823" xr:uid="{00000000-0005-0000-0000-00006C220000}"/>
    <cellStyle name="Percent 8 2 2 2" xfId="8824" xr:uid="{00000000-0005-0000-0000-00006D220000}"/>
    <cellStyle name="Percent 8 2 2 2 2" xfId="8825" xr:uid="{00000000-0005-0000-0000-00006E220000}"/>
    <cellStyle name="Percent 8 2 2 3" xfId="8826" xr:uid="{00000000-0005-0000-0000-00006F220000}"/>
    <cellStyle name="Percent 8 2 2 3 2" xfId="8827" xr:uid="{00000000-0005-0000-0000-000070220000}"/>
    <cellStyle name="Percent 8 2 2 4" xfId="8828" xr:uid="{00000000-0005-0000-0000-000071220000}"/>
    <cellStyle name="Percent 8 2 3" xfId="8829" xr:uid="{00000000-0005-0000-0000-000072220000}"/>
    <cellStyle name="Percent 8 2 3 2" xfId="8830" xr:uid="{00000000-0005-0000-0000-000073220000}"/>
    <cellStyle name="Percent 8 2 4" xfId="8831" xr:uid="{00000000-0005-0000-0000-000074220000}"/>
    <cellStyle name="Percent 8 2 4 2" xfId="8832" xr:uid="{00000000-0005-0000-0000-000075220000}"/>
    <cellStyle name="Percent 8 2 5" xfId="8833" xr:uid="{00000000-0005-0000-0000-000076220000}"/>
    <cellStyle name="Percent 8 3" xfId="8834" xr:uid="{00000000-0005-0000-0000-000077220000}"/>
    <cellStyle name="Percent 8 3 2" xfId="8835" xr:uid="{00000000-0005-0000-0000-000078220000}"/>
    <cellStyle name="Percent 8 3 2 2" xfId="8836" xr:uid="{00000000-0005-0000-0000-000079220000}"/>
    <cellStyle name="Percent 8 3 3" xfId="8837" xr:uid="{00000000-0005-0000-0000-00007A220000}"/>
    <cellStyle name="Percent 8 3 3 2" xfId="8838" xr:uid="{00000000-0005-0000-0000-00007B220000}"/>
    <cellStyle name="Percent 8 3 4" xfId="8839" xr:uid="{00000000-0005-0000-0000-00007C220000}"/>
    <cellStyle name="Percent 8 4" xfId="8840" xr:uid="{00000000-0005-0000-0000-00007D220000}"/>
    <cellStyle name="Percent 8 4 2" xfId="8841" xr:uid="{00000000-0005-0000-0000-00007E220000}"/>
    <cellStyle name="Percent 8 5" xfId="8842" xr:uid="{00000000-0005-0000-0000-00007F220000}"/>
    <cellStyle name="Percent 8 5 2" xfId="8843" xr:uid="{00000000-0005-0000-0000-000080220000}"/>
    <cellStyle name="Percent 8 6" xfId="8844" xr:uid="{00000000-0005-0000-0000-000081220000}"/>
    <cellStyle name="Percent 8 7" xfId="8845" xr:uid="{00000000-0005-0000-0000-000082220000}"/>
    <cellStyle name="Percent 9" xfId="8846" xr:uid="{00000000-0005-0000-0000-000083220000}"/>
    <cellStyle name="Percent 9 2" xfId="8847" xr:uid="{00000000-0005-0000-0000-000084220000}"/>
    <cellStyle name="Percent 9 3" xfId="8848" xr:uid="{00000000-0005-0000-0000-000085220000}"/>
    <cellStyle name="Percent 9 4" xfId="8849" xr:uid="{00000000-0005-0000-0000-000086220000}"/>
    <cellStyle name="Percent(1)" xfId="114" xr:uid="{00000000-0005-0000-0000-000087220000}"/>
    <cellStyle name="Percent(1) 2" xfId="8850" xr:uid="{00000000-0005-0000-0000-000088220000}"/>
    <cellStyle name="Percent(2)" xfId="115" xr:uid="{00000000-0005-0000-0000-000089220000}"/>
    <cellStyle name="Percent(2) 2" xfId="8851" xr:uid="{00000000-0005-0000-0000-00008A220000}"/>
    <cellStyle name="Posting_Period" xfId="8852" xr:uid="{00000000-0005-0000-0000-00008B220000}"/>
    <cellStyle name="PRM" xfId="116" xr:uid="{00000000-0005-0000-0000-00008C220000}"/>
    <cellStyle name="PRM 2" xfId="8854" xr:uid="{00000000-0005-0000-0000-00008D220000}"/>
    <cellStyle name="PRM 3" xfId="8855" xr:uid="{00000000-0005-0000-0000-00008E220000}"/>
    <cellStyle name="PRM 4" xfId="8853" xr:uid="{00000000-0005-0000-0000-00008F220000}"/>
    <cellStyle name="PRM_2011-11" xfId="8856" xr:uid="{00000000-0005-0000-0000-000090220000}"/>
    <cellStyle name="PS_Comma" xfId="8857" xr:uid="{00000000-0005-0000-0000-000091220000}"/>
    <cellStyle name="PSChar" xfId="117" xr:uid="{00000000-0005-0000-0000-000092220000}"/>
    <cellStyle name="PSChar 2" xfId="8858" xr:uid="{00000000-0005-0000-0000-000093220000}"/>
    <cellStyle name="PSDate" xfId="8859" xr:uid="{00000000-0005-0000-0000-000094220000}"/>
    <cellStyle name="PSDec" xfId="8860" xr:uid="{00000000-0005-0000-0000-000095220000}"/>
    <cellStyle name="PSHeading" xfId="118" xr:uid="{00000000-0005-0000-0000-000096220000}"/>
    <cellStyle name="PSHeading 2" xfId="8862" xr:uid="{00000000-0005-0000-0000-000097220000}"/>
    <cellStyle name="PSHeading 2 2" xfId="8863" xr:uid="{00000000-0005-0000-0000-000098220000}"/>
    <cellStyle name="PSHeading 3" xfId="8861" xr:uid="{00000000-0005-0000-0000-000099220000}"/>
    <cellStyle name="PSInt" xfId="8864" xr:uid="{00000000-0005-0000-0000-00009A220000}"/>
    <cellStyle name="PSSpacer" xfId="8865" xr:uid="{00000000-0005-0000-0000-00009B220000}"/>
    <cellStyle name="Reset  - Style4" xfId="8866" xr:uid="{00000000-0005-0000-0000-00009C220000}"/>
    <cellStyle name="Reset  - Style7" xfId="8867" xr:uid="{00000000-0005-0000-0000-00009D220000}"/>
    <cellStyle name="STYL0 - Style1" xfId="8868" xr:uid="{00000000-0005-0000-0000-00009E220000}"/>
    <cellStyle name="STYL1 - Style2" xfId="8869" xr:uid="{00000000-0005-0000-0000-00009F220000}"/>
    <cellStyle name="STYL2 - Style3" xfId="8870" xr:uid="{00000000-0005-0000-0000-0000A0220000}"/>
    <cellStyle name="STYL3 - Style4" xfId="8871" xr:uid="{00000000-0005-0000-0000-0000A1220000}"/>
    <cellStyle name="STYL4 - Style5" xfId="8872" xr:uid="{00000000-0005-0000-0000-0000A2220000}"/>
    <cellStyle name="STYL5 - Style6" xfId="8873" xr:uid="{00000000-0005-0000-0000-0000A3220000}"/>
    <cellStyle name="STYL6 - Style7" xfId="8874" xr:uid="{00000000-0005-0000-0000-0000A4220000}"/>
    <cellStyle name="STYL7 - Style8" xfId="8875" xr:uid="{00000000-0005-0000-0000-0000A5220000}"/>
    <cellStyle name="Style 1" xfId="119" xr:uid="{00000000-0005-0000-0000-0000A6220000}"/>
    <cellStyle name="Style 1 2" xfId="8877" xr:uid="{00000000-0005-0000-0000-0000A7220000}"/>
    <cellStyle name="Style 1 2 2" xfId="8878" xr:uid="{00000000-0005-0000-0000-0000A8220000}"/>
    <cellStyle name="Style 1 3" xfId="8879" xr:uid="{00000000-0005-0000-0000-0000A9220000}"/>
    <cellStyle name="Style 1 4" xfId="8880" xr:uid="{00000000-0005-0000-0000-0000AA220000}"/>
    <cellStyle name="Style 1 5" xfId="8876" xr:uid="{00000000-0005-0000-0000-0000AB220000}"/>
    <cellStyle name="Style 1_Recycle Center Commodities MRF" xfId="8881" xr:uid="{00000000-0005-0000-0000-0000AC220000}"/>
    <cellStyle name="STYLE1" xfId="120" xr:uid="{00000000-0005-0000-0000-0000AD220000}"/>
    <cellStyle name="STYLE1 2" xfId="244" xr:uid="{00000000-0005-0000-0000-0000AE220000}"/>
    <cellStyle name="STYLE1 2 2" xfId="8883" xr:uid="{00000000-0005-0000-0000-0000AF220000}"/>
    <cellStyle name="STYLE1 3" xfId="8882" xr:uid="{00000000-0005-0000-0000-0000B0220000}"/>
    <cellStyle name="sub heading" xfId="8884" xr:uid="{00000000-0005-0000-0000-0000B1220000}"/>
    <cellStyle name="Table  - Style5" xfId="8885" xr:uid="{00000000-0005-0000-0000-0000B2220000}"/>
    <cellStyle name="Table  - Style5 2" xfId="8886" xr:uid="{00000000-0005-0000-0000-0000B3220000}"/>
    <cellStyle name="Table  - Style5 3" xfId="8887" xr:uid="{00000000-0005-0000-0000-0000B4220000}"/>
    <cellStyle name="Table  - Style5 4" xfId="8888" xr:uid="{00000000-0005-0000-0000-0000B5220000}"/>
    <cellStyle name="Table  - Style5 5" xfId="8889" xr:uid="{00000000-0005-0000-0000-0000B6220000}"/>
    <cellStyle name="Table  - Style6" xfId="8890" xr:uid="{00000000-0005-0000-0000-0000B7220000}"/>
    <cellStyle name="Table  - Style6 2" xfId="8891" xr:uid="{00000000-0005-0000-0000-0000B8220000}"/>
    <cellStyle name="Table  - Style6 3" xfId="8892" xr:uid="{00000000-0005-0000-0000-0000B9220000}"/>
    <cellStyle name="Table  - Style6 4" xfId="8893" xr:uid="{00000000-0005-0000-0000-0000BA220000}"/>
    <cellStyle name="Table  - Style6 5" xfId="8894" xr:uid="{00000000-0005-0000-0000-0000BB220000}"/>
    <cellStyle name="Tax_Rate" xfId="8895" xr:uid="{00000000-0005-0000-0000-0000BC220000}"/>
    <cellStyle name="Title  - Style1" xfId="8897" xr:uid="{00000000-0005-0000-0000-0000BD220000}"/>
    <cellStyle name="Title  - Style6" xfId="8898" xr:uid="{00000000-0005-0000-0000-0000BE220000}"/>
    <cellStyle name="Title 10" xfId="8899" xr:uid="{00000000-0005-0000-0000-0000BF220000}"/>
    <cellStyle name="Title 11" xfId="8900" xr:uid="{00000000-0005-0000-0000-0000C0220000}"/>
    <cellStyle name="Title 12" xfId="8901" xr:uid="{00000000-0005-0000-0000-0000C1220000}"/>
    <cellStyle name="Title 13" xfId="8896" xr:uid="{00000000-0005-0000-0000-0000C2220000}"/>
    <cellStyle name="Title 14" xfId="9016" xr:uid="{00000000-0005-0000-0000-0000C3220000}"/>
    <cellStyle name="Title 2" xfId="246" xr:uid="{00000000-0005-0000-0000-0000C4220000}"/>
    <cellStyle name="Title 2 2" xfId="8903" xr:uid="{00000000-0005-0000-0000-0000C5220000}"/>
    <cellStyle name="Title 2 2 2" xfId="8904" xr:uid="{00000000-0005-0000-0000-0000C6220000}"/>
    <cellStyle name="Title 2 3" xfId="8905" xr:uid="{00000000-0005-0000-0000-0000C7220000}"/>
    <cellStyle name="Title 2 4" xfId="8902" xr:uid="{00000000-0005-0000-0000-0000C8220000}"/>
    <cellStyle name="Title 3" xfId="245" xr:uid="{00000000-0005-0000-0000-0000C9220000}"/>
    <cellStyle name="Title 3 2" xfId="8907" xr:uid="{00000000-0005-0000-0000-0000CA220000}"/>
    <cellStyle name="Title 3 3" xfId="8906" xr:uid="{00000000-0005-0000-0000-0000CB220000}"/>
    <cellStyle name="Title 4" xfId="8908" xr:uid="{00000000-0005-0000-0000-0000CC220000}"/>
    <cellStyle name="Title 5" xfId="8909" xr:uid="{00000000-0005-0000-0000-0000CD220000}"/>
    <cellStyle name="Title 6" xfId="8910" xr:uid="{00000000-0005-0000-0000-0000CE220000}"/>
    <cellStyle name="Title 7" xfId="8911" xr:uid="{00000000-0005-0000-0000-0000CF220000}"/>
    <cellStyle name="Title 8" xfId="8912" xr:uid="{00000000-0005-0000-0000-0000D0220000}"/>
    <cellStyle name="Title 9" xfId="8913" xr:uid="{00000000-0005-0000-0000-0000D1220000}"/>
    <cellStyle name="Total 2" xfId="121" xr:uid="{00000000-0005-0000-0000-0000D2220000}"/>
    <cellStyle name="Total 2 2" xfId="248" xr:uid="{00000000-0005-0000-0000-0000D3220000}"/>
    <cellStyle name="Total 2 2 2" xfId="8917" xr:uid="{00000000-0005-0000-0000-0000D4220000}"/>
    <cellStyle name="Total 2 2 2 2" xfId="8918" xr:uid="{00000000-0005-0000-0000-0000D5220000}"/>
    <cellStyle name="Total 2 2 2 3" xfId="8919" xr:uid="{00000000-0005-0000-0000-0000D6220000}"/>
    <cellStyle name="Total 2 2 2 4" xfId="8920" xr:uid="{00000000-0005-0000-0000-0000D7220000}"/>
    <cellStyle name="Total 2 2 2 5" xfId="8921" xr:uid="{00000000-0005-0000-0000-0000D8220000}"/>
    <cellStyle name="Total 2 2 3" xfId="8922" xr:uid="{00000000-0005-0000-0000-0000D9220000}"/>
    <cellStyle name="Total 2 2 3 2" xfId="8923" xr:uid="{00000000-0005-0000-0000-0000DA220000}"/>
    <cellStyle name="Total 2 2 3 3" xfId="8924" xr:uid="{00000000-0005-0000-0000-0000DB220000}"/>
    <cellStyle name="Total 2 2 3 4" xfId="8925" xr:uid="{00000000-0005-0000-0000-0000DC220000}"/>
    <cellStyle name="Total 2 2 3 5" xfId="8926" xr:uid="{00000000-0005-0000-0000-0000DD220000}"/>
    <cellStyle name="Total 2 2 4" xfId="8916" xr:uid="{00000000-0005-0000-0000-0000DE220000}"/>
    <cellStyle name="Total 2 3" xfId="8927" xr:uid="{00000000-0005-0000-0000-0000DF220000}"/>
    <cellStyle name="Total 2 3 2" xfId="8928" xr:uid="{00000000-0005-0000-0000-0000E0220000}"/>
    <cellStyle name="Total 2 3 2 2" xfId="8929" xr:uid="{00000000-0005-0000-0000-0000E1220000}"/>
    <cellStyle name="Total 2 3 2 3" xfId="8930" xr:uid="{00000000-0005-0000-0000-0000E2220000}"/>
    <cellStyle name="Total 2 3 2 4" xfId="8931" xr:uid="{00000000-0005-0000-0000-0000E3220000}"/>
    <cellStyle name="Total 2 3 2 5" xfId="8932" xr:uid="{00000000-0005-0000-0000-0000E4220000}"/>
    <cellStyle name="Total 2 3 3" xfId="8933" xr:uid="{00000000-0005-0000-0000-0000E5220000}"/>
    <cellStyle name="Total 2 3 4" xfId="8934" xr:uid="{00000000-0005-0000-0000-0000E6220000}"/>
    <cellStyle name="Total 2 3 5" xfId="8935" xr:uid="{00000000-0005-0000-0000-0000E7220000}"/>
    <cellStyle name="Total 2 3 6" xfId="8936" xr:uid="{00000000-0005-0000-0000-0000E8220000}"/>
    <cellStyle name="Total 2 4" xfId="8937" xr:uid="{00000000-0005-0000-0000-0000E9220000}"/>
    <cellStyle name="Total 2 4 2" xfId="8938" xr:uid="{00000000-0005-0000-0000-0000EA220000}"/>
    <cellStyle name="Total 2 4 2 2" xfId="8939" xr:uid="{00000000-0005-0000-0000-0000EB220000}"/>
    <cellStyle name="Total 2 4 2 3" xfId="8940" xr:uid="{00000000-0005-0000-0000-0000EC220000}"/>
    <cellStyle name="Total 2 4 2 4" xfId="8941" xr:uid="{00000000-0005-0000-0000-0000ED220000}"/>
    <cellStyle name="Total 2 4 2 5" xfId="8942" xr:uid="{00000000-0005-0000-0000-0000EE220000}"/>
    <cellStyle name="Total 2 4 3" xfId="8943" xr:uid="{00000000-0005-0000-0000-0000EF220000}"/>
    <cellStyle name="Total 2 4 4" xfId="8944" xr:uid="{00000000-0005-0000-0000-0000F0220000}"/>
    <cellStyle name="Total 2 4 5" xfId="8945" xr:uid="{00000000-0005-0000-0000-0000F1220000}"/>
    <cellStyle name="Total 2 4 6" xfId="8946" xr:uid="{00000000-0005-0000-0000-0000F2220000}"/>
    <cellStyle name="Total 2 5" xfId="8947" xr:uid="{00000000-0005-0000-0000-0000F3220000}"/>
    <cellStyle name="Total 2 5 2" xfId="8948" xr:uid="{00000000-0005-0000-0000-0000F4220000}"/>
    <cellStyle name="Total 2 5 3" xfId="8949" xr:uid="{00000000-0005-0000-0000-0000F5220000}"/>
    <cellStyle name="Total 2 5 4" xfId="8950" xr:uid="{00000000-0005-0000-0000-0000F6220000}"/>
    <cellStyle name="Total 2 5 5" xfId="8951" xr:uid="{00000000-0005-0000-0000-0000F7220000}"/>
    <cellStyle name="Total 2 6" xfId="8952" xr:uid="{00000000-0005-0000-0000-0000F8220000}"/>
    <cellStyle name="Total 2 7" xfId="8915" xr:uid="{00000000-0005-0000-0000-0000F9220000}"/>
    <cellStyle name="Total 3" xfId="247" xr:uid="{00000000-0005-0000-0000-0000FA220000}"/>
    <cellStyle name="Total 3 2" xfId="8954" xr:uid="{00000000-0005-0000-0000-0000FB220000}"/>
    <cellStyle name="Total 3 2 2" xfId="8955" xr:uid="{00000000-0005-0000-0000-0000FC220000}"/>
    <cellStyle name="Total 3 2 2 2" xfId="8956" xr:uid="{00000000-0005-0000-0000-0000FD220000}"/>
    <cellStyle name="Total 3 2 2 3" xfId="8957" xr:uid="{00000000-0005-0000-0000-0000FE220000}"/>
    <cellStyle name="Total 3 2 2 4" xfId="8958" xr:uid="{00000000-0005-0000-0000-0000FF220000}"/>
    <cellStyle name="Total 3 2 2 5" xfId="8959" xr:uid="{00000000-0005-0000-0000-000000230000}"/>
    <cellStyle name="Total 3 2 3" xfId="8960" xr:uid="{00000000-0005-0000-0000-000001230000}"/>
    <cellStyle name="Total 3 2 3 2" xfId="8961" xr:uid="{00000000-0005-0000-0000-000002230000}"/>
    <cellStyle name="Total 3 2 3 3" xfId="8962" xr:uid="{00000000-0005-0000-0000-000003230000}"/>
    <cellStyle name="Total 3 2 3 4" xfId="8963" xr:uid="{00000000-0005-0000-0000-000004230000}"/>
    <cellStyle name="Total 3 2 3 5" xfId="8964" xr:uid="{00000000-0005-0000-0000-000005230000}"/>
    <cellStyle name="Total 3 3" xfId="8965" xr:uid="{00000000-0005-0000-0000-000006230000}"/>
    <cellStyle name="Total 3 3 2" xfId="8966" xr:uid="{00000000-0005-0000-0000-000007230000}"/>
    <cellStyle name="Total 3 3 2 2" xfId="8967" xr:uid="{00000000-0005-0000-0000-000008230000}"/>
    <cellStyle name="Total 3 3 2 3" xfId="8968" xr:uid="{00000000-0005-0000-0000-000009230000}"/>
    <cellStyle name="Total 3 3 2 4" xfId="8969" xr:uid="{00000000-0005-0000-0000-00000A230000}"/>
    <cellStyle name="Total 3 3 2 5" xfId="8970" xr:uid="{00000000-0005-0000-0000-00000B230000}"/>
    <cellStyle name="Total 3 3 3" xfId="8971" xr:uid="{00000000-0005-0000-0000-00000C230000}"/>
    <cellStyle name="Total 3 3 4" xfId="8972" xr:uid="{00000000-0005-0000-0000-00000D230000}"/>
    <cellStyle name="Total 3 3 5" xfId="8973" xr:uid="{00000000-0005-0000-0000-00000E230000}"/>
    <cellStyle name="Total 3 3 6" xfId="8974" xr:uid="{00000000-0005-0000-0000-00000F230000}"/>
    <cellStyle name="Total 3 4" xfId="8975" xr:uid="{00000000-0005-0000-0000-000010230000}"/>
    <cellStyle name="Total 3 4 2" xfId="8976" xr:uid="{00000000-0005-0000-0000-000011230000}"/>
    <cellStyle name="Total 3 4 3" xfId="8977" xr:uid="{00000000-0005-0000-0000-000012230000}"/>
    <cellStyle name="Total 3 4 4" xfId="8978" xr:uid="{00000000-0005-0000-0000-000013230000}"/>
    <cellStyle name="Total 3 4 5" xfId="8979" xr:uid="{00000000-0005-0000-0000-000014230000}"/>
    <cellStyle name="Total 3 5" xfId="8980" xr:uid="{00000000-0005-0000-0000-000015230000}"/>
    <cellStyle name="Total 3 5 2" xfId="8981" xr:uid="{00000000-0005-0000-0000-000016230000}"/>
    <cellStyle name="Total 3 5 3" xfId="8982" xr:uid="{00000000-0005-0000-0000-000017230000}"/>
    <cellStyle name="Total 3 5 4" xfId="8983" xr:uid="{00000000-0005-0000-0000-000018230000}"/>
    <cellStyle name="Total 3 5 5" xfId="8984" xr:uid="{00000000-0005-0000-0000-000019230000}"/>
    <cellStyle name="Total 3 6" xfId="8953" xr:uid="{00000000-0005-0000-0000-00001A230000}"/>
    <cellStyle name="Total 4" xfId="8985" xr:uid="{00000000-0005-0000-0000-00001B230000}"/>
    <cellStyle name="Total 4 2" xfId="8986" xr:uid="{00000000-0005-0000-0000-00001C230000}"/>
    <cellStyle name="Total 4 3" xfId="8987" xr:uid="{00000000-0005-0000-0000-00001D230000}"/>
    <cellStyle name="Total 4 3 2" xfId="8988" xr:uid="{00000000-0005-0000-0000-00001E230000}"/>
    <cellStyle name="Total 4 3 3" xfId="8989" xr:uid="{00000000-0005-0000-0000-00001F230000}"/>
    <cellStyle name="Total 4 3 4" xfId="8990" xr:uid="{00000000-0005-0000-0000-000020230000}"/>
    <cellStyle name="Total 4 3 5" xfId="8991" xr:uid="{00000000-0005-0000-0000-000021230000}"/>
    <cellStyle name="Total 4 4" xfId="8992" xr:uid="{00000000-0005-0000-0000-000022230000}"/>
    <cellStyle name="Total 4 5" xfId="8993" xr:uid="{00000000-0005-0000-0000-000023230000}"/>
    <cellStyle name="Total 4 6" xfId="8994" xr:uid="{00000000-0005-0000-0000-000024230000}"/>
    <cellStyle name="Total 4 7" xfId="8995" xr:uid="{00000000-0005-0000-0000-000025230000}"/>
    <cellStyle name="Total 5" xfId="8914" xr:uid="{00000000-0005-0000-0000-000026230000}"/>
    <cellStyle name="TotCol - Style5" xfId="8996" xr:uid="{00000000-0005-0000-0000-000027230000}"/>
    <cellStyle name="TotCol - Style7" xfId="8997" xr:uid="{00000000-0005-0000-0000-000028230000}"/>
    <cellStyle name="TotRow - Style4" xfId="8998" xr:uid="{00000000-0005-0000-0000-000029230000}"/>
    <cellStyle name="TotRow - Style4 2" xfId="8999" xr:uid="{00000000-0005-0000-0000-00002A230000}"/>
    <cellStyle name="TotRow - Style4 3" xfId="9000" xr:uid="{00000000-0005-0000-0000-00002B230000}"/>
    <cellStyle name="TotRow - Style4 4" xfId="9001" xr:uid="{00000000-0005-0000-0000-00002C230000}"/>
    <cellStyle name="TotRow - Style4 5" xfId="9002" xr:uid="{00000000-0005-0000-0000-00002D230000}"/>
    <cellStyle name="TotRow - Style8" xfId="9003" xr:uid="{00000000-0005-0000-0000-00002E230000}"/>
    <cellStyle name="TotRow - Style8 2" xfId="9004" xr:uid="{00000000-0005-0000-0000-00002F230000}"/>
    <cellStyle name="TotRow - Style8 3" xfId="9005" xr:uid="{00000000-0005-0000-0000-000030230000}"/>
    <cellStyle name="TotRow - Style8 4" xfId="9006" xr:uid="{00000000-0005-0000-0000-000031230000}"/>
    <cellStyle name="TotRow - Style8 5" xfId="9007" xr:uid="{00000000-0005-0000-0000-000032230000}"/>
    <cellStyle name="Transcript_Date" xfId="9008" xr:uid="{00000000-0005-0000-0000-000033230000}"/>
    <cellStyle name="Warning Text 2" xfId="250" xr:uid="{00000000-0005-0000-0000-000034230000}"/>
    <cellStyle name="Warning Text 2 2" xfId="9010" xr:uid="{00000000-0005-0000-0000-000035230000}"/>
    <cellStyle name="Warning Text 3" xfId="249" xr:uid="{00000000-0005-0000-0000-000036230000}"/>
    <cellStyle name="Warning Text 3 2" xfId="9011" xr:uid="{00000000-0005-0000-0000-000037230000}"/>
    <cellStyle name="Warning Text 4" xfId="9012" xr:uid="{00000000-0005-0000-0000-000038230000}"/>
    <cellStyle name="Warning Text 5" xfId="9009" xr:uid="{00000000-0005-0000-0000-000039230000}"/>
    <cellStyle name="WM_STANDARD" xfId="9013" xr:uid="{00000000-0005-0000-0000-00003A230000}"/>
  </cellStyles>
  <dxfs count="14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_(&quot;$&quot;* #,##0_);_(&quot;$&quot;* \(#,##0\);_(&quot;$&quot;* &quot;-&quot;??_);_(@_)"/>
    </dxf>
    <dxf>
      <numFmt numFmtId="175" formatCode="_(&quot;$&quot;* #,##0_);_(&quot;$&quot;* \(#,##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12</xdr:row>
      <xdr:rowOff>57150</xdr:rowOff>
    </xdr:from>
    <xdr:to>
      <xdr:col>11</xdr:col>
      <xdr:colOff>74695</xdr:colOff>
      <xdr:row>15</xdr:row>
      <xdr:rowOff>102253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43150"/>
          <a:ext cx="8380495" cy="61660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</xdr:row>
      <xdr:rowOff>104775</xdr:rowOff>
    </xdr:from>
    <xdr:to>
      <xdr:col>11</xdr:col>
      <xdr:colOff>141371</xdr:colOff>
      <xdr:row>11</xdr:row>
      <xdr:rowOff>129865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1628775"/>
          <a:ext cx="8466221" cy="59659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16</xdr:row>
      <xdr:rowOff>19050</xdr:rowOff>
    </xdr:from>
    <xdr:to>
      <xdr:col>11</xdr:col>
      <xdr:colOff>6029</xdr:colOff>
      <xdr:row>35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3067050"/>
          <a:ext cx="8407079" cy="369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0</xdr:rowOff>
        </xdr:from>
        <xdr:to>
          <xdr:col>2</xdr:col>
          <xdr:colOff>180975</xdr:colOff>
          <xdr:row>7</xdr:row>
          <xdr:rowOff>76200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0</xdr:rowOff>
        </xdr:from>
        <xdr:to>
          <xdr:col>1</xdr:col>
          <xdr:colOff>180975</xdr:colOff>
          <xdr:row>7</xdr:row>
          <xdr:rowOff>76200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reen\AppData\Local\Microsoft\Windows\INetCache\Content.Outlook\HYTL4VYA\Copy%20of%20Sunriver%20Side%20Yard%20Trash%20%20Recycle%20Proforma%20-%20glass%20and%20recycle%20every%20week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Fuel%20Rebate\Pen-Island-Mason\2149%20Fuel\2019\Q4%202019\2149%202019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share\sacshare\Accounting\Accounting%20Tools\Fixed%20Assets\PO%20Report_v3b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WRegion\ControllerDir\JoeW\2044%20Close\2044%20Close%202007\2044%20Close%200710\2044%20Close%200709\2044%20Close%20Contro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cr\AppData\Local\Microsoft\Windows\Temporary%20Internet%20Files\Content.IE5\HQZCDK8W\PO%20Report_v3d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49%20Mason%20County/Depreciation/2023/ForRateCase_Capital%20-%20Budget%20Input%20v1.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01%20New%20Pro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stern%20Region\2000%20Western%20Region%20Office\ControllerDir\MistyC\Current\DISTRICTS\2012%20-%20Cascade\Special%20Projects\Rate%20Reviews\2022%20Cascade\Cascade%20Master%20DCR%202022.xlsx" TargetMode="External"/><Relationship Id="rId1" Type="http://schemas.openxmlformats.org/officeDocument/2006/relationships/externalLinkPath" Target="/Western%20Region/2000%20Western%20Region%20Office/ControllerDir/MistyC/Current/DISTRICTS/2012%20-%20Cascade/Special%20Projects/Rate%20Reviews/2022%20Cascade/Cascade%20Master%20DCR%20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FAR_v3d_v1.0.9.xlsm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reen\AppData\Local\Interject\FileCache\Capital%20-%20Budget%20Input%20v1.9.xlsx" TargetMode="External"/><Relationship Id="rId1" Type="http://schemas.openxmlformats.org/officeDocument/2006/relationships/externalLinkPath" Target="file:///C:\Users\agreen\AppData\Local\Interject\FileCache\Capital%20-%20Budget%20Input%20v1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Checker"/>
      <sheetName val="Instructions"/>
      <sheetName val="Notes"/>
      <sheetName val="Summary"/>
      <sheetName val="T Station Capex"/>
      <sheetName val="Initial Capex"/>
      <sheetName val="Subsequent Capex"/>
      <sheetName val="Summary P&amp;L"/>
      <sheetName val="P&amp;L new collection"/>
      <sheetName val="P&amp;L new TS"/>
      <sheetName val="P&amp;L new LF"/>
      <sheetName val="Capital Sold"/>
      <sheetName val="Capex Forgone"/>
      <sheetName val="P&amp;L - disposed business"/>
      <sheetName val="FCF recon"/>
      <sheetName val="Balance Sheet Changes"/>
      <sheetName val="Interject P&amp;L"/>
      <sheetName val="Tax Liv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"/>
      <sheetName val="WA PTO-Import"/>
      <sheetName val="IFTA PTO-Import"/>
      <sheetName val="Invoice-Import"/>
      <sheetName val="Instructions"/>
      <sheetName val="RTA"/>
      <sheetName val="Truck Listing"/>
      <sheetName val="APQuery"/>
      <sheetName val="Fuel Tracking"/>
      <sheetName val="Screensh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I11" t="str">
            <v>2149</v>
          </cell>
          <cell r="L11"/>
        </row>
        <row r="12">
          <cell r="I12"/>
          <cell r="L12"/>
        </row>
        <row r="13">
          <cell r="I13"/>
          <cell r="L13" t="str">
            <v>2149</v>
          </cell>
        </row>
        <row r="14">
          <cell r="I14" t="str">
            <v>VUS000011107</v>
          </cell>
        </row>
      </sheetData>
      <sheetData sheetId="8">
        <row r="15">
          <cell r="E15">
            <v>43738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Invoice_Drill"/>
      <sheetName val="PO_Drill"/>
      <sheetName val="Sheet1"/>
      <sheetName val="Sheet2"/>
    </sheetNames>
    <sheetDataSet>
      <sheetData sheetId="0">
        <row r="1">
          <cell r="A1" t="str">
            <v>All</v>
          </cell>
        </row>
      </sheetData>
      <sheetData sheetId="1">
        <row r="3">
          <cell r="E3" t="str">
            <v>All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e Dalles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Invoice_Drill"/>
      <sheetName val="PO_Drill"/>
    </sheetNames>
    <sheetDataSet>
      <sheetData sheetId="0">
        <row r="1">
          <cell r="A1" t="str">
            <v>All</v>
          </cell>
        </row>
        <row r="2">
          <cell r="A2" t="str">
            <v>2015-01</v>
          </cell>
        </row>
        <row r="3">
          <cell r="A3" t="str">
            <v>2015-02</v>
          </cell>
        </row>
        <row r="4">
          <cell r="A4" t="str">
            <v>2015-03</v>
          </cell>
        </row>
        <row r="5">
          <cell r="A5" t="str">
            <v>2015-04</v>
          </cell>
        </row>
        <row r="6">
          <cell r="A6" t="str">
            <v>2015-05</v>
          </cell>
        </row>
        <row r="7">
          <cell r="A7" t="str">
            <v>2015-06</v>
          </cell>
        </row>
        <row r="8">
          <cell r="A8" t="str">
            <v>2015-07</v>
          </cell>
        </row>
        <row r="9">
          <cell r="A9" t="str">
            <v>2015-08</v>
          </cell>
        </row>
        <row r="10">
          <cell r="A10" t="str">
            <v>2015-09</v>
          </cell>
        </row>
        <row r="11">
          <cell r="A11" t="str">
            <v>2015-10</v>
          </cell>
        </row>
        <row r="12">
          <cell r="A12" t="str">
            <v>2015-11</v>
          </cell>
        </row>
        <row r="13">
          <cell r="A13" t="str">
            <v>2015-12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F16" t="str">
            <v>OK!: ReportRange Formula OK [jAction{}]</v>
          </cell>
        </row>
        <row r="35">
          <cell r="C35" t="str">
            <v>Automated</v>
          </cell>
          <cell r="D35" t="str">
            <v>Automated Sideloader</v>
          </cell>
        </row>
        <row r="36">
          <cell r="C36" t="str">
            <v>Container Delivery Truck</v>
          </cell>
          <cell r="D36" t="str">
            <v>Container Delivery</v>
          </cell>
        </row>
        <row r="37">
          <cell r="C37" t="str">
            <v>Front Load</v>
          </cell>
          <cell r="D37" t="str">
            <v>Front Loader</v>
          </cell>
        </row>
        <row r="38">
          <cell r="C38" t="str">
            <v>Grapple Brush Truck</v>
          </cell>
          <cell r="D38" t="str">
            <v>Grapple Truck</v>
          </cell>
        </row>
        <row r="39">
          <cell r="C39" t="str">
            <v>Hook Lift</v>
          </cell>
          <cell r="D39" t="str">
            <v>Hook Lift</v>
          </cell>
        </row>
        <row r="40">
          <cell r="C40" t="str">
            <v>Sideloader</v>
          </cell>
          <cell r="D40" t="str">
            <v>Sideloader</v>
          </cell>
        </row>
        <row r="41">
          <cell r="C41" t="str">
            <v>Sideloader</v>
          </cell>
          <cell r="D41" t="str">
            <v>Sideloader</v>
          </cell>
        </row>
        <row r="42">
          <cell r="C42" t="str">
            <v>Other Truck</v>
          </cell>
          <cell r="D42" t="str">
            <v>Other</v>
          </cell>
        </row>
        <row r="43">
          <cell r="C43" t="str">
            <v>Passenger Car</v>
          </cell>
          <cell r="D43" t="str">
            <v>Other</v>
          </cell>
        </row>
        <row r="44">
          <cell r="C44" t="str">
            <v>Pickup</v>
          </cell>
          <cell r="D44" t="str">
            <v>Pickup</v>
          </cell>
        </row>
        <row r="45">
          <cell r="C45" t="str">
            <v>Pumper Truck</v>
          </cell>
          <cell r="D45" t="str">
            <v>Pumper Truck</v>
          </cell>
        </row>
        <row r="46">
          <cell r="C46" t="str">
            <v>Rear Load</v>
          </cell>
          <cell r="D46" t="str">
            <v>Rear Loader</v>
          </cell>
        </row>
        <row r="47">
          <cell r="C47" t="str">
            <v>Recycle Truck</v>
          </cell>
          <cell r="D47" t="str">
            <v>Recycle</v>
          </cell>
        </row>
        <row r="48">
          <cell r="C48" t="str">
            <v>Retriever</v>
          </cell>
          <cell r="D48" t="str">
            <v>Retriever</v>
          </cell>
        </row>
        <row r="49">
          <cell r="C49" t="str">
            <v>Roll Off</v>
          </cell>
          <cell r="D49" t="str">
            <v>Roll Off</v>
          </cell>
        </row>
        <row r="50">
          <cell r="C50" t="str">
            <v>Service Truck</v>
          </cell>
          <cell r="D50" t="str">
            <v>Service Truck</v>
          </cell>
        </row>
        <row r="51">
          <cell r="C51" t="str">
            <v>Service Truck</v>
          </cell>
          <cell r="D51" t="str">
            <v>Service Truck</v>
          </cell>
        </row>
        <row r="52">
          <cell r="C52" t="str">
            <v>Tipper Trailer</v>
          </cell>
          <cell r="D52" t="str">
            <v>Trailer</v>
          </cell>
        </row>
        <row r="53">
          <cell r="C53" t="str">
            <v>Walking Floor Trailer</v>
          </cell>
          <cell r="D53" t="str">
            <v>Trailer</v>
          </cell>
        </row>
        <row r="54">
          <cell r="C54" t="str">
            <v>Roll Off Pup Trailer</v>
          </cell>
          <cell r="D54" t="str">
            <v>Trailer</v>
          </cell>
        </row>
        <row r="55">
          <cell r="C55" t="str">
            <v>Other Trailer</v>
          </cell>
          <cell r="D55" t="str">
            <v>Trailer</v>
          </cell>
        </row>
        <row r="56">
          <cell r="C56" t="str">
            <v>Container Delivery Trailer</v>
          </cell>
          <cell r="D56" t="str">
            <v>Trailer</v>
          </cell>
        </row>
        <row r="57">
          <cell r="C57" t="str">
            <v>Railroad Cars</v>
          </cell>
          <cell r="D57" t="str">
            <v>Trailer</v>
          </cell>
        </row>
        <row r="58">
          <cell r="C58" t="str">
            <v>Barge</v>
          </cell>
          <cell r="D58" t="str">
            <v>Trailer</v>
          </cell>
        </row>
        <row r="59">
          <cell r="C59" t="str">
            <v>Transfer Tractor</v>
          </cell>
          <cell r="D59" t="str">
            <v>Transfer Tractor</v>
          </cell>
        </row>
        <row r="60">
          <cell r="C60" t="str">
            <v>ATV/Gator</v>
          </cell>
          <cell r="D60" t="str">
            <v>UTV</v>
          </cell>
        </row>
        <row r="61">
          <cell r="C61" t="str">
            <v>Yard Mule</v>
          </cell>
          <cell r="D61" t="str">
            <v>Yard Mule</v>
          </cell>
        </row>
        <row r="62">
          <cell r="C62" t="str">
            <v>Automated</v>
          </cell>
          <cell r="D62" t="str">
            <v>Automated Sideloader</v>
          </cell>
        </row>
        <row r="63">
          <cell r="C63" t="str">
            <v>Container Delivery Truck</v>
          </cell>
          <cell r="D63" t="str">
            <v>Container Delivery</v>
          </cell>
        </row>
        <row r="64">
          <cell r="C64" t="str">
            <v>Front Load</v>
          </cell>
          <cell r="D64" t="str">
            <v>Front Loader</v>
          </cell>
        </row>
        <row r="65">
          <cell r="C65" t="str">
            <v>Grapple Brush Truck</v>
          </cell>
          <cell r="D65" t="str">
            <v>Grapple Truck</v>
          </cell>
        </row>
        <row r="66">
          <cell r="C66" t="str">
            <v>Hook Lift</v>
          </cell>
          <cell r="D66" t="str">
            <v>Hook Lift</v>
          </cell>
        </row>
        <row r="67">
          <cell r="C67" t="str">
            <v>Sideloader</v>
          </cell>
          <cell r="D67" t="str">
            <v>Manual Sideloader</v>
          </cell>
        </row>
        <row r="68">
          <cell r="C68" t="str">
            <v>Other Truck</v>
          </cell>
          <cell r="D68" t="str">
            <v>Other</v>
          </cell>
        </row>
        <row r="69">
          <cell r="C69" t="str">
            <v>Pickup</v>
          </cell>
          <cell r="D69" t="str">
            <v>Pickup</v>
          </cell>
        </row>
        <row r="70">
          <cell r="C70" t="str">
            <v>Pumper Truck</v>
          </cell>
          <cell r="D70" t="str">
            <v>Pumper Truck</v>
          </cell>
        </row>
        <row r="71">
          <cell r="C71" t="str">
            <v>Rear Load</v>
          </cell>
          <cell r="D71" t="str">
            <v>Rear Loader</v>
          </cell>
        </row>
        <row r="72">
          <cell r="C72" t="str">
            <v>Recycle Truck</v>
          </cell>
          <cell r="D72" t="str">
            <v>Recycle</v>
          </cell>
        </row>
        <row r="73">
          <cell r="C73" t="str">
            <v>Retriever</v>
          </cell>
          <cell r="D73" t="str">
            <v>Retriever</v>
          </cell>
        </row>
        <row r="74">
          <cell r="C74" t="str">
            <v>Roll Off</v>
          </cell>
          <cell r="D74" t="str">
            <v>Roll Off</v>
          </cell>
        </row>
        <row r="75">
          <cell r="C75" t="str">
            <v>Service Truck</v>
          </cell>
          <cell r="D75" t="str">
            <v>Serv Trk-Complete</v>
          </cell>
        </row>
        <row r="76">
          <cell r="C76" t="str">
            <v>Tipper Trailer</v>
          </cell>
          <cell r="D76" t="str">
            <v>Trailer</v>
          </cell>
        </row>
        <row r="77">
          <cell r="C77" t="str">
            <v>Walking Floor Trailer</v>
          </cell>
          <cell r="D77" t="str">
            <v>Trailer</v>
          </cell>
        </row>
        <row r="78">
          <cell r="C78" t="str">
            <v>Roll Off Pup Trailer</v>
          </cell>
          <cell r="D78" t="str">
            <v>Trailer</v>
          </cell>
        </row>
        <row r="79">
          <cell r="C79" t="str">
            <v>Barge</v>
          </cell>
          <cell r="D79" t="str">
            <v>Trailer</v>
          </cell>
        </row>
        <row r="80">
          <cell r="C80" t="str">
            <v>Railroad Cars</v>
          </cell>
          <cell r="D80" t="str">
            <v>Trailer</v>
          </cell>
        </row>
        <row r="81">
          <cell r="C81" t="str">
            <v>Container Delivery Trailer</v>
          </cell>
          <cell r="D81" t="str">
            <v>Trailer</v>
          </cell>
        </row>
        <row r="82">
          <cell r="C82" t="str">
            <v>Other Trailer</v>
          </cell>
          <cell r="D82" t="str">
            <v>Trailer</v>
          </cell>
        </row>
        <row r="83">
          <cell r="C83" t="str">
            <v>Transfer Tractor</v>
          </cell>
          <cell r="D83" t="str">
            <v>Transfer Tractor</v>
          </cell>
        </row>
        <row r="84">
          <cell r="C84" t="str">
            <v>Yard Mule</v>
          </cell>
          <cell r="D84" t="str">
            <v>Yard Mule</v>
          </cell>
        </row>
        <row r="85">
          <cell r="C85" t="str">
            <v>ATV/Gator</v>
          </cell>
          <cell r="D85" t="str">
            <v>UTV</v>
          </cell>
        </row>
      </sheetData>
      <sheetData sheetId="8">
        <row r="7">
          <cell r="C7" t="str">
            <v>OK!: ReportRange Formula OK [jAction{}]</v>
          </cell>
        </row>
      </sheetData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 New Proforma"/>
      <sheetName val="Capacity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s for Field"/>
      <sheetName val="Links"/>
      <sheetName val="2012_IS210 Total"/>
      <sheetName val="GLBuildup_2022"/>
      <sheetName val="2012_IS210 800"/>
      <sheetName val="Interject_LastPulledValues"/>
      <sheetName val="YoY IS"/>
      <sheetName val="Sorted Master"/>
      <sheetName val="City of Bend"/>
      <sheetName val="Rural"/>
      <sheetName val="Dist Rural"/>
      <sheetName val="Rev Sum"/>
      <sheetName val="Cust Count"/>
      <sheetName val="Disposal"/>
      <sheetName val="Debt"/>
      <sheetName val="2012_BS 2022"/>
      <sheetName val="2012_BS 2021"/>
      <sheetName val="CapEx"/>
      <sheetName val="Check"/>
      <sheetName val="YoY Allocators"/>
      <sheetName val="Rollup By Area"/>
      <sheetName val="Vital Metrics"/>
      <sheetName val="SunriverProgramP&amp;L"/>
      <sheetName val="Commodities Projection"/>
      <sheetName val="Bend Hist Rpt"/>
      <sheetName val="County Hist CY Proj"/>
      <sheetName val="County CY Proj with PI"/>
      <sheetName val="County CY Proj with PI_AltB"/>
      <sheetName val="withAdj_2010_Informational"/>
      <sheetName val="IS210 for projections"/>
      <sheetName val="CapEx for Projections"/>
      <sheetName val="County 5 Yr Proj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K3">
            <v>71575.483382999984</v>
          </cell>
          <cell r="M3">
            <v>22642.461874473098</v>
          </cell>
          <cell r="P3">
            <v>9372.3725235992442</v>
          </cell>
          <cell r="S3">
            <v>11946.055772143163</v>
          </cell>
          <cell r="V3">
            <v>8390.5049258888466</v>
          </cell>
          <cell r="Y3">
            <v>3049.7402656156273</v>
          </cell>
          <cell r="AB3">
            <v>5898.3813482800006</v>
          </cell>
        </row>
        <row r="4">
          <cell r="K4">
            <v>67562.200038999988</v>
          </cell>
          <cell r="M4">
            <v>21002.231678563323</v>
          </cell>
          <cell r="P4">
            <v>8693.433612020297</v>
          </cell>
          <cell r="S4">
            <v>11080.678080083013</v>
          </cell>
          <cell r="V4">
            <v>7782.6929479038845</v>
          </cell>
          <cell r="Y4">
            <v>2828.815699149462</v>
          </cell>
          <cell r="AB4">
            <v>5898.3813482800006</v>
          </cell>
        </row>
        <row r="5">
          <cell r="K5">
            <v>0</v>
          </cell>
        </row>
        <row r="6">
          <cell r="K6">
            <v>14676624.299999997</v>
          </cell>
          <cell r="M6">
            <v>7438664.7177629471</v>
          </cell>
          <cell r="P6">
            <v>4005085.7422370529</v>
          </cell>
          <cell r="S6">
            <v>0</v>
          </cell>
          <cell r="V6">
            <v>160442.54000000004</v>
          </cell>
          <cell r="Y6">
            <v>571324.41</v>
          </cell>
          <cell r="AB6">
            <v>1317423.2799999998</v>
          </cell>
        </row>
        <row r="7">
          <cell r="K7">
            <v>33298.080000000002</v>
          </cell>
          <cell r="M7">
            <v>21659.583333333332</v>
          </cell>
          <cell r="P7">
            <v>3657.25</v>
          </cell>
          <cell r="S7">
            <v>4827.479166666667</v>
          </cell>
          <cell r="V7">
            <v>0</v>
          </cell>
          <cell r="Y7">
            <v>1697.7708333333333</v>
          </cell>
          <cell r="AB7">
            <v>640.5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ject_LastPulledValues"/>
      <sheetName val="FAR 12.2023"/>
      <sheetName val="ProjDepr"/>
      <sheetName val="District Summary"/>
      <sheetName val="Invoice"/>
      <sheetName val="Assets"/>
    </sheetNames>
    <sheetDataSet>
      <sheetData sheetId="0"/>
      <sheetData sheetId="1"/>
      <sheetData sheetId="2">
        <row r="3">
          <cell r="D3" t="str">
            <v>OK!: ReportRange Formula OK [jAction{}]</v>
          </cell>
        </row>
        <row r="19">
          <cell r="D19" t="str">
            <v>2023-12</v>
          </cell>
        </row>
        <row r="20">
          <cell r="D20">
            <v>2010</v>
          </cell>
        </row>
        <row r="21">
          <cell r="D21">
            <v>1098</v>
          </cell>
        </row>
        <row r="22">
          <cell r="D22">
            <v>14110</v>
          </cell>
        </row>
      </sheetData>
      <sheetData sheetId="3"/>
      <sheetData sheetId="4">
        <row r="2">
          <cell r="C2" t="str">
            <v>OK!: ReportRange Formula OK [jAction{}]</v>
          </cell>
        </row>
        <row r="7">
          <cell r="E7" t="str">
            <v>x</v>
          </cell>
        </row>
        <row r="8">
          <cell r="E8" t="str">
            <v/>
          </cell>
        </row>
        <row r="9">
          <cell r="E9" t="str">
            <v>A</v>
          </cell>
        </row>
      </sheetData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ud Capital Input"/>
      <sheetName val="Capital Summary By PO Type"/>
      <sheetName val="PO vs Garage Recon"/>
      <sheetName val="Garage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F16" t="str">
            <v>OK!: ReportRange Formula OK [jAction{}]</v>
          </cell>
        </row>
        <row r="23">
          <cell r="C23">
            <v>16326</v>
          </cell>
          <cell r="D23">
            <v>2010</v>
          </cell>
          <cell r="E23" t="str">
            <v>New Peterbilt/Labrie MSL Resi</v>
          </cell>
          <cell r="F23" t="str">
            <v>N</v>
          </cell>
          <cell r="G23" t="str">
            <v>Manual Sideloader</v>
          </cell>
          <cell r="H23" t="str">
            <v>Manual Sideloader</v>
          </cell>
          <cell r="I23">
            <v>508065</v>
          </cell>
          <cell r="J23">
            <v>236323</v>
          </cell>
          <cell r="K23" t="str">
            <v>2010-23-0026-1</v>
          </cell>
        </row>
        <row r="24">
          <cell r="C24">
            <v>16327</v>
          </cell>
          <cell r="D24">
            <v>2010</v>
          </cell>
          <cell r="E24" t="str">
            <v>New Peterbilt/Other Roll Off  (Chain System)</v>
          </cell>
          <cell r="F24" t="str">
            <v>N</v>
          </cell>
          <cell r="G24" t="str">
            <v>Roll Off</v>
          </cell>
          <cell r="H24" t="str">
            <v>Roll Off</v>
          </cell>
          <cell r="I24">
            <v>368905</v>
          </cell>
          <cell r="J24">
            <v>227685</v>
          </cell>
          <cell r="K24" t="str">
            <v>2010-23-0024-1</v>
          </cell>
        </row>
        <row r="25">
          <cell r="C25">
            <v>16901</v>
          </cell>
          <cell r="D25">
            <v>2010</v>
          </cell>
          <cell r="E25" t="str">
            <v>New Peterbilt/Labrie MSL Resi</v>
          </cell>
          <cell r="F25" t="str">
            <v>N</v>
          </cell>
          <cell r="G25" t="str">
            <v>Manual Sideloader</v>
          </cell>
          <cell r="H25" t="str">
            <v>Manual Sideloader</v>
          </cell>
          <cell r="I25">
            <v>436813</v>
          </cell>
          <cell r="J25">
            <v>224527</v>
          </cell>
          <cell r="K25" t="str">
            <v>2010-23-0031-1</v>
          </cell>
        </row>
        <row r="26">
          <cell r="C26">
            <v>16917</v>
          </cell>
          <cell r="D26">
            <v>2010</v>
          </cell>
          <cell r="E26" t="str">
            <v>New Peterbilt/Labrie MSL Automated</v>
          </cell>
          <cell r="F26" t="str">
            <v>N</v>
          </cell>
          <cell r="G26" t="str">
            <v>Manual Sideloader</v>
          </cell>
          <cell r="H26" t="str">
            <v>Manual Sideloader</v>
          </cell>
          <cell r="I26">
            <v>528005</v>
          </cell>
          <cell r="J26">
            <v>235810</v>
          </cell>
          <cell r="K26" t="str">
            <v>2010-23-0021-1</v>
          </cell>
        </row>
        <row r="27">
          <cell r="C27">
            <v>16918</v>
          </cell>
          <cell r="D27">
            <v>2010</v>
          </cell>
          <cell r="E27" t="str">
            <v>New Peterbilt/Labrie MSL Automated</v>
          </cell>
          <cell r="F27" t="str">
            <v>N</v>
          </cell>
          <cell r="G27" t="str">
            <v>Manual Sideloader</v>
          </cell>
          <cell r="H27" t="str">
            <v>Manual Sideloader</v>
          </cell>
          <cell r="I27">
            <v>528005</v>
          </cell>
          <cell r="J27">
            <v>235809</v>
          </cell>
          <cell r="K27" t="str">
            <v>2010-23-0019-1</v>
          </cell>
        </row>
        <row r="28">
          <cell r="C28">
            <v>16978</v>
          </cell>
          <cell r="D28">
            <v>2010</v>
          </cell>
          <cell r="E28" t="str">
            <v>New Peterbilt/Other Roll Off  (Chain System)</v>
          </cell>
          <cell r="F28" t="str">
            <v>N</v>
          </cell>
          <cell r="G28" t="str">
            <v>Roll Off</v>
          </cell>
          <cell r="H28" t="str">
            <v>Roll Off</v>
          </cell>
          <cell r="I28">
            <v>368905</v>
          </cell>
          <cell r="J28">
            <v>224957</v>
          </cell>
          <cell r="K28" t="str">
            <v>2010-23-0032-1</v>
          </cell>
        </row>
        <row r="29">
          <cell r="C29">
            <v>17249</v>
          </cell>
          <cell r="D29">
            <v>2010</v>
          </cell>
          <cell r="E29" t="str">
            <v>New Peterbilt/Labrie MSL Automated</v>
          </cell>
          <cell r="F29" t="str">
            <v>N</v>
          </cell>
          <cell r="G29" t="str">
            <v>Manual Sideloader</v>
          </cell>
          <cell r="H29" t="str">
            <v>Manual Sideloader</v>
          </cell>
          <cell r="I29">
            <v>528005</v>
          </cell>
          <cell r="J29">
            <v>232829</v>
          </cell>
          <cell r="K29" t="str">
            <v>2010-23-0022-1</v>
          </cell>
        </row>
        <row r="30">
          <cell r="C30">
            <v>18720</v>
          </cell>
          <cell r="D30">
            <v>2010</v>
          </cell>
          <cell r="E30" t="str">
            <v>New Peterbilt/Labrie ASL Resi Dump Body</v>
          </cell>
          <cell r="F30" t="str">
            <v>N</v>
          </cell>
          <cell r="G30" t="str">
            <v>Automated Sideloader</v>
          </cell>
          <cell r="H30" t="str">
            <v>Automated Sideloader</v>
          </cell>
          <cell r="I30">
            <v>501058</v>
          </cell>
        </row>
        <row r="31">
          <cell r="C31">
            <v>18721</v>
          </cell>
          <cell r="D31">
            <v>2010</v>
          </cell>
          <cell r="E31" t="str">
            <v>New Peterbilt/Labrie ASL Resi Dump Body</v>
          </cell>
          <cell r="F31" t="str">
            <v>N</v>
          </cell>
          <cell r="G31" t="str">
            <v>Automated Sideloader</v>
          </cell>
          <cell r="H31" t="str">
            <v>Automated Sideloader</v>
          </cell>
          <cell r="I31">
            <v>501058</v>
          </cell>
        </row>
        <row r="32">
          <cell r="C32">
            <v>18722</v>
          </cell>
          <cell r="D32">
            <v>2010</v>
          </cell>
          <cell r="E32" t="str">
            <v>New Peterbilt/Labrie ASL Resi Dump Body</v>
          </cell>
          <cell r="F32" t="str">
            <v>N</v>
          </cell>
          <cell r="G32" t="str">
            <v>Automated Sideloader</v>
          </cell>
          <cell r="H32" t="str">
            <v>Automated Sideloader</v>
          </cell>
          <cell r="I32">
            <v>501058</v>
          </cell>
        </row>
        <row r="33">
          <cell r="C33">
            <v>18723</v>
          </cell>
          <cell r="D33">
            <v>2010</v>
          </cell>
          <cell r="E33" t="str">
            <v>New Peterbilt/Other Roll Off  (Chain System)</v>
          </cell>
          <cell r="F33" t="str">
            <v>N</v>
          </cell>
          <cell r="G33" t="str">
            <v>Roll Off</v>
          </cell>
          <cell r="H33" t="str">
            <v>Roll Off</v>
          </cell>
          <cell r="I33">
            <v>389503</v>
          </cell>
        </row>
        <row r="34">
          <cell r="C34">
            <v>18724</v>
          </cell>
          <cell r="D34">
            <v>2010</v>
          </cell>
          <cell r="E34" t="str">
            <v>New Peterbilt/Labrie FEL Commercial</v>
          </cell>
          <cell r="F34" t="str">
            <v>N</v>
          </cell>
          <cell r="G34" t="str">
            <v>Front Loader</v>
          </cell>
          <cell r="H34" t="str">
            <v>Front Loader</v>
          </cell>
          <cell r="I34">
            <v>488170</v>
          </cell>
        </row>
        <row r="35">
          <cell r="C35">
            <v>18725</v>
          </cell>
          <cell r="D35">
            <v>2010</v>
          </cell>
          <cell r="E35" t="str">
            <v>New Peterbilt/Labrie FEL Commercial</v>
          </cell>
          <cell r="F35" t="str">
            <v>N</v>
          </cell>
          <cell r="G35" t="str">
            <v>Front Loader</v>
          </cell>
          <cell r="H35" t="str">
            <v>Front Loader</v>
          </cell>
          <cell r="I35">
            <v>488170</v>
          </cell>
        </row>
        <row r="36">
          <cell r="C36">
            <v>18726</v>
          </cell>
          <cell r="D36">
            <v>2010</v>
          </cell>
          <cell r="E36" t="str">
            <v>New Peterbilt/Labrie FEL Commercial</v>
          </cell>
          <cell r="F36" t="str">
            <v>N</v>
          </cell>
          <cell r="G36" t="str">
            <v>Front Loader</v>
          </cell>
          <cell r="H36" t="str">
            <v>Front Loader</v>
          </cell>
          <cell r="I36">
            <v>488170</v>
          </cell>
        </row>
        <row r="37">
          <cell r="C37">
            <v>18727</v>
          </cell>
          <cell r="D37">
            <v>2010</v>
          </cell>
          <cell r="E37" t="str">
            <v>New Peterbilt/Other MSL Resi</v>
          </cell>
          <cell r="F37" t="str">
            <v>N</v>
          </cell>
          <cell r="G37" t="str">
            <v>Manual Sideloader</v>
          </cell>
          <cell r="H37" t="str">
            <v>Manual Sideloader</v>
          </cell>
          <cell r="I37">
            <v>397225</v>
          </cell>
        </row>
        <row r="38">
          <cell r="C38">
            <v>18728</v>
          </cell>
          <cell r="D38">
            <v>2010</v>
          </cell>
          <cell r="E38" t="str">
            <v>New Peterbilt/Other MSL Resi</v>
          </cell>
          <cell r="F38" t="str">
            <v>N</v>
          </cell>
          <cell r="G38" t="str">
            <v>Manual Sideloader</v>
          </cell>
          <cell r="H38" t="str">
            <v>Manual Sideloader</v>
          </cell>
          <cell r="I38">
            <v>397225</v>
          </cell>
        </row>
        <row r="39">
          <cell r="C39">
            <v>19067</v>
          </cell>
          <cell r="D39">
            <v>2010</v>
          </cell>
          <cell r="E39" t="str">
            <v>New Ranger Crew Cab 4X4</v>
          </cell>
          <cell r="F39" t="str">
            <v>N</v>
          </cell>
          <cell r="G39" t="str">
            <v>Pickup</v>
          </cell>
          <cell r="H39" t="str">
            <v>Pickup</v>
          </cell>
          <cell r="I39">
            <v>46082</v>
          </cell>
        </row>
        <row r="40">
          <cell r="C40">
            <v>19069</v>
          </cell>
          <cell r="D40">
            <v>2010</v>
          </cell>
          <cell r="E40" t="str">
            <v>New Ranger Crew Cab 4X4</v>
          </cell>
          <cell r="F40" t="str">
            <v>N</v>
          </cell>
          <cell r="G40" t="str">
            <v>Pickup</v>
          </cell>
          <cell r="H40" t="str">
            <v>Pickup</v>
          </cell>
          <cell r="I40">
            <v>46082</v>
          </cell>
        </row>
        <row r="41">
          <cell r="C41">
            <v>19070</v>
          </cell>
          <cell r="D41">
            <v>2010</v>
          </cell>
          <cell r="E41" t="str">
            <v>New Peterbilt/Other Roll Off  (Chain System)</v>
          </cell>
          <cell r="F41" t="str">
            <v>N</v>
          </cell>
          <cell r="G41" t="str">
            <v>Roll Off</v>
          </cell>
          <cell r="H41" t="str">
            <v>Roll Off</v>
          </cell>
          <cell r="I41">
            <v>389503</v>
          </cell>
        </row>
        <row r="42">
          <cell r="C42">
            <v>19071</v>
          </cell>
          <cell r="D42">
            <v>2010</v>
          </cell>
          <cell r="E42" t="str">
            <v>New Peterbilt/Other Roll Off  (Chain System)</v>
          </cell>
          <cell r="F42" t="str">
            <v>N</v>
          </cell>
          <cell r="G42" t="str">
            <v>Roll Off</v>
          </cell>
          <cell r="H42" t="str">
            <v>Roll Off</v>
          </cell>
          <cell r="I42">
            <v>389503</v>
          </cell>
        </row>
        <row r="43">
          <cell r="C43">
            <v>19072</v>
          </cell>
          <cell r="D43">
            <v>2010</v>
          </cell>
          <cell r="E43" t="str">
            <v>New Peterbilt/Other Roll Off  (Chain System)</v>
          </cell>
          <cell r="F43" t="str">
            <v>N</v>
          </cell>
          <cell r="G43" t="str">
            <v>Roll Off</v>
          </cell>
          <cell r="H43" t="str">
            <v>Roll Off</v>
          </cell>
          <cell r="I43">
            <v>389503</v>
          </cell>
        </row>
        <row r="44">
          <cell r="C44">
            <v>19082</v>
          </cell>
          <cell r="D44">
            <v>2010</v>
          </cell>
          <cell r="E44" t="str">
            <v>New Peterbilt/Labrie MSL Automated</v>
          </cell>
          <cell r="F44" t="str">
            <v>N</v>
          </cell>
          <cell r="G44" t="str">
            <v>Manual Sideloader</v>
          </cell>
          <cell r="H44" t="str">
            <v>Manual Sideloader</v>
          </cell>
          <cell r="I44">
            <v>563509</v>
          </cell>
        </row>
        <row r="45">
          <cell r="C45">
            <v>19083</v>
          </cell>
          <cell r="D45">
            <v>2010</v>
          </cell>
          <cell r="E45" t="str">
            <v>New Peterbilt/Labrie MSL Automated</v>
          </cell>
          <cell r="F45" t="str">
            <v>N</v>
          </cell>
          <cell r="G45" t="str">
            <v>Manual Sideloader</v>
          </cell>
          <cell r="H45" t="str">
            <v>Manual Sideloader</v>
          </cell>
          <cell r="I45">
            <v>568479</v>
          </cell>
        </row>
        <row r="46">
          <cell r="C46">
            <v>19364</v>
          </cell>
          <cell r="D46">
            <v>2010</v>
          </cell>
          <cell r="E46" t="str">
            <v>New Other</v>
          </cell>
          <cell r="F46" t="str">
            <v>N</v>
          </cell>
          <cell r="G46" t="str">
            <v>Container Delivery</v>
          </cell>
          <cell r="H46" t="str">
            <v>Container Delivery</v>
          </cell>
          <cell r="I46">
            <v>64974</v>
          </cell>
        </row>
        <row r="52">
          <cell r="C52" t="str">
            <v>PO Subtype</v>
          </cell>
          <cell r="D52" t="str">
            <v>Truck Center System Type</v>
          </cell>
        </row>
        <row r="53">
          <cell r="C53" t="str">
            <v>Automated</v>
          </cell>
          <cell r="D53" t="str">
            <v>Automated Sideloader</v>
          </cell>
        </row>
        <row r="54">
          <cell r="C54" t="str">
            <v>Container Delivery Truck</v>
          </cell>
          <cell r="D54" t="str">
            <v>Container Delivery</v>
          </cell>
        </row>
        <row r="55">
          <cell r="C55" t="str">
            <v>Front Load</v>
          </cell>
          <cell r="D55" t="str">
            <v>Front Loader</v>
          </cell>
        </row>
        <row r="56">
          <cell r="C56" t="str">
            <v>Grapple Brush Truck</v>
          </cell>
          <cell r="D56" t="str">
            <v>Grapple Truck</v>
          </cell>
        </row>
        <row r="57">
          <cell r="C57" t="str">
            <v>Hook Lift</v>
          </cell>
          <cell r="D57" t="str">
            <v>Hook Lift</v>
          </cell>
        </row>
        <row r="58">
          <cell r="C58" t="str">
            <v>Sideloader</v>
          </cell>
          <cell r="D58" t="str">
            <v>Sideloader</v>
          </cell>
        </row>
        <row r="59">
          <cell r="C59" t="str">
            <v>Sideloader</v>
          </cell>
          <cell r="D59" t="str">
            <v>Sideloader</v>
          </cell>
        </row>
        <row r="60">
          <cell r="C60" t="str">
            <v>Other Truck</v>
          </cell>
          <cell r="D60" t="str">
            <v>Other</v>
          </cell>
        </row>
        <row r="61">
          <cell r="C61" t="str">
            <v>Passenger Car</v>
          </cell>
          <cell r="D61" t="str">
            <v>Other</v>
          </cell>
        </row>
        <row r="62">
          <cell r="C62" t="str">
            <v>Pickup</v>
          </cell>
          <cell r="D62" t="str">
            <v>Pickup</v>
          </cell>
        </row>
        <row r="63">
          <cell r="C63" t="str">
            <v>Pumper Truck</v>
          </cell>
          <cell r="D63" t="str">
            <v>Pumper Truck</v>
          </cell>
        </row>
        <row r="64">
          <cell r="C64" t="str">
            <v>Rear Load</v>
          </cell>
          <cell r="D64" t="str">
            <v>Rear Loader</v>
          </cell>
        </row>
        <row r="65">
          <cell r="C65" t="str">
            <v>Recycle Truck</v>
          </cell>
          <cell r="D65" t="str">
            <v>Recycle</v>
          </cell>
        </row>
        <row r="66">
          <cell r="C66" t="str">
            <v>Retriever</v>
          </cell>
          <cell r="D66" t="str">
            <v>Retriever</v>
          </cell>
        </row>
        <row r="67">
          <cell r="C67" t="str">
            <v>Roll Off</v>
          </cell>
          <cell r="D67" t="str">
            <v>Roll Off</v>
          </cell>
        </row>
        <row r="68">
          <cell r="C68" t="str">
            <v>Service Truck</v>
          </cell>
          <cell r="D68" t="str">
            <v>Service Truck</v>
          </cell>
        </row>
        <row r="69">
          <cell r="C69" t="str">
            <v>Service Truck</v>
          </cell>
          <cell r="D69" t="str">
            <v>Service Truck</v>
          </cell>
        </row>
        <row r="70">
          <cell r="C70" t="str">
            <v>Tipper Trailer</v>
          </cell>
          <cell r="D70" t="str">
            <v>Trailer</v>
          </cell>
        </row>
        <row r="71">
          <cell r="C71" t="str">
            <v>Walking Floor Trailer</v>
          </cell>
          <cell r="D71" t="str">
            <v>Trailer</v>
          </cell>
        </row>
        <row r="72">
          <cell r="C72" t="str">
            <v>Roll Off Pup Trailer</v>
          </cell>
          <cell r="D72" t="str">
            <v>Trailer</v>
          </cell>
        </row>
        <row r="73">
          <cell r="C73" t="str">
            <v>Other Trailer</v>
          </cell>
          <cell r="D73" t="str">
            <v>Trailer</v>
          </cell>
        </row>
        <row r="74">
          <cell r="C74" t="str">
            <v>Container Delivery Trailer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Barge</v>
          </cell>
          <cell r="D76" t="str">
            <v>Trailer</v>
          </cell>
        </row>
        <row r="77">
          <cell r="C77" t="str">
            <v>Transfer Tractor</v>
          </cell>
          <cell r="D77" t="str">
            <v>Transfer Tractor</v>
          </cell>
        </row>
        <row r="78">
          <cell r="C78" t="str">
            <v>ATV/Gator</v>
          </cell>
          <cell r="D78" t="str">
            <v>UTV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Automated</v>
          </cell>
          <cell r="D80" t="str">
            <v>Automated Sideloader</v>
          </cell>
        </row>
        <row r="81">
          <cell r="C81" t="str">
            <v>Container Delivery Truck</v>
          </cell>
          <cell r="D81" t="str">
            <v>Container Delivery</v>
          </cell>
        </row>
        <row r="82">
          <cell r="C82" t="str">
            <v>Front Load</v>
          </cell>
          <cell r="D82" t="str">
            <v>Front Loader</v>
          </cell>
        </row>
        <row r="83">
          <cell r="C83" t="str">
            <v>Grapple Brush Truck</v>
          </cell>
          <cell r="D83" t="str">
            <v>Grapple Truck</v>
          </cell>
        </row>
        <row r="84">
          <cell r="C84" t="str">
            <v>Hook Lift</v>
          </cell>
          <cell r="D84" t="str">
            <v>Hook Lift</v>
          </cell>
        </row>
        <row r="85">
          <cell r="C85" t="str">
            <v>Sideloader</v>
          </cell>
          <cell r="D85" t="str">
            <v>Manual Sideloader</v>
          </cell>
        </row>
        <row r="86">
          <cell r="C86" t="str">
            <v>Other Truck</v>
          </cell>
          <cell r="D86" t="str">
            <v>Other</v>
          </cell>
        </row>
        <row r="87">
          <cell r="C87" t="str">
            <v>Pickup</v>
          </cell>
          <cell r="D87" t="str">
            <v>Pickup</v>
          </cell>
        </row>
      </sheetData>
      <sheetData sheetId="8">
        <row r="7">
          <cell r="C7" t="str">
            <v>OK!: ReportRange Formula OK [jAction{}]</v>
          </cell>
        </row>
      </sheetData>
      <sheetData sheetId="9" refreshError="1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reen" refreshedDate="45442.67458460648" createdVersion="8" refreshedVersion="8" minRefreshableVersion="3" recordCount="616" xr:uid="{D71707D3-C1BA-4113-B857-26A418AB84DB}">
  <cacheSource type="worksheet">
    <worksheetSource ref="B16:AX632" sheet="FAR 4.2024"/>
  </cacheSource>
  <cacheFields count="49">
    <cacheField name="Dist." numFmtId="0">
      <sharedItems containsSemiMixedTypes="0" containsString="0" containsNumber="1" containsInteger="1" minValue="2149" maxValue="2149"/>
    </cacheField>
    <cacheField name="Asset #" numFmtId="0">
      <sharedItems containsSemiMixedTypes="0" containsString="0" containsNumber="1" containsInteger="1" minValue="11414" maxValue="404472"/>
    </cacheField>
    <cacheField name="Parent_x000a_/ Child" numFmtId="0">
      <sharedItems containsMixedTypes="1" containsNumber="1" containsInteger="1" minValue="20910" maxValue="404157"/>
    </cacheField>
    <cacheField name="Asset Type" numFmtId="0">
      <sharedItems/>
    </cacheField>
    <cacheField name="Description" numFmtId="0">
      <sharedItems/>
    </cacheField>
    <cacheField name="Bl 1" numFmtId="0">
      <sharedItems containsNonDate="0" containsString="0" containsBlank="1"/>
    </cacheField>
    <cacheField name="Bl 2" numFmtId="0">
      <sharedItems containsNonDate="0" containsString="0" containsBlank="1"/>
    </cacheField>
    <cacheField name="Units" numFmtId="0">
      <sharedItems containsSemiMixedTypes="0" containsString="0" containsNumber="1" containsInteger="1" minValue="1" maxValue="1700"/>
    </cacheField>
    <cacheField name="Mfg. Serial #" numFmtId="0">
      <sharedItems containsBlank="1" containsMixedTypes="1" containsNumber="1" containsInteger="1" minValue="0" maxValue="60300168"/>
    </cacheField>
    <cacheField name="Model Year" numFmtId="0">
      <sharedItems containsSemiMixedTypes="0" containsString="0" containsNumber="1" containsInteger="1" minValue="0" maxValue="2024"/>
    </cacheField>
    <cacheField name="Vendor / Mfg." numFmtId="0">
      <sharedItems containsBlank="1"/>
    </cacheField>
    <cacheField name="Body Mfg" numFmtId="0">
      <sharedItems containsBlank="1"/>
    </cacheField>
    <cacheField name="Asset Category (Major)" numFmtId="0">
      <sharedItems/>
    </cacheField>
    <cacheField name="Asset Sub-Category (Minor)" numFmtId="0">
      <sharedItems/>
    </cacheField>
    <cacheField name="Ins. Category" numFmtId="0">
      <sharedItems containsBlank="1"/>
    </cacheField>
    <cacheField name="Cont. Size" numFmtId="0">
      <sharedItems containsBlank="1"/>
    </cacheField>
    <cacheField name="Cont. Type" numFmtId="0">
      <sharedItems containsBlank="1"/>
    </cacheField>
    <cacheField name="In Service Date" numFmtId="176">
      <sharedItems containsSemiMixedTypes="0" containsNonDate="0" containsDate="1" containsString="0" minDate="1988-02-19T00:00:00" maxDate="2024-03-19T00:00:00"/>
    </cacheField>
    <cacheField name="Acq. Date" numFmtId="176">
      <sharedItems containsSemiMixedTypes="0" containsNonDate="0" containsDate="1" containsString="0" minDate="1988-02-19T00:00:00" maxDate="2024-04-01T00:00:00"/>
    </cacheField>
    <cacheField name="CER #" numFmtId="0">
      <sharedItems containsBlank="1" containsMixedTypes="1" containsNumber="1" containsInteger="1" minValue="219" maxValue="52149005"/>
    </cacheField>
    <cacheField name="Useful Life" numFmtId="0">
      <sharedItems containsSemiMixedTypes="0" containsString="0" containsNumber="1" containsInteger="1" minValue="0" maxValue="2000"/>
    </cacheField>
    <cacheField name="Asset Account" numFmtId="0">
      <sharedItems containsSemiMixedTypes="0" containsString="0" containsNumber="1" containsInteger="1" minValue="14010" maxValue="15260"/>
    </cacheField>
    <cacheField name="Asset Cost" numFmtId="44">
      <sharedItems containsSemiMixedTypes="0" containsString="0" containsNumber="1" minValue="-74100" maxValue="5960838.7800000003"/>
    </cacheField>
    <cacheField name="Accum. Account" numFmtId="0">
      <sharedItems containsSemiMixedTypes="0" containsString="0" containsNumber="1" containsInteger="1" minValue="14016" maxValue="15266"/>
    </cacheField>
    <cacheField name="Accum. Life to Date" numFmtId="44">
      <sharedItems containsSemiMixedTypes="0" containsString="0" containsNumber="1" minValue="-45272.51" maxValue="276758.07"/>
    </cacheField>
    <cacheField name="NBV" numFmtId="44">
      <sharedItems containsSemiMixedTypes="0" containsString="0" containsNumber="1" minValue="-74100" maxValue="5960838.7800000003"/>
    </cacheField>
    <cacheField name="Accum. YTD" numFmtId="44">
      <sharedItems containsSemiMixedTypes="0" containsString="0" containsNumber="1" minValue="-361.68" maxValue="13171.56"/>
    </cacheField>
    <cacheField name="Expense Account" numFmtId="0">
      <sharedItems containsSemiMixedTypes="0" containsString="0" containsNumber="1" containsInteger="1" minValue="51260" maxValue="70269"/>
    </cacheField>
    <cacheField name="Current Depr." numFmtId="44">
      <sharedItems containsSemiMixedTypes="0" containsString="0" containsNumber="1" minValue="-90.42" maxValue="3292.89"/>
    </cacheField>
    <cacheField name="Acq. Type" numFmtId="0">
      <sharedItems/>
    </cacheField>
    <cacheField name="Former Company" numFmtId="0">
      <sharedItems containsBlank="1" containsMixedTypes="1" containsNumber="1" containsInteger="1" minValue="0" maxValue="0"/>
    </cacheField>
    <cacheField name="Company Asset #" numFmtId="0">
      <sharedItems containsBlank="1" containsMixedTypes="1" containsNumber="1" containsInteger="1" minValue="4" maxValue="9979"/>
    </cacheField>
    <cacheField name="Activity Cd" numFmtId="0">
      <sharedItems/>
    </cacheField>
    <cacheField name="Depr. Meth" numFmtId="0">
      <sharedItems/>
    </cacheField>
    <cacheField name="Depre. Y/N" numFmtId="0">
      <sharedItems/>
    </cacheField>
    <cacheField name="Truck #" numFmtId="0">
      <sharedItems containsBlank="1" containsMixedTypes="1" containsNumber="1" containsInteger="1" minValue="0" maxValue="8915"/>
    </cacheField>
    <cacheField name="Equipment Type per Field" numFmtId="0">
      <sharedItems containsMixedTypes="1" containsNumber="1" containsInteger="1" minValue="0" maxValue="0"/>
    </cacheField>
    <cacheField name="Equipment Type for Lookup" numFmtId="0">
      <sharedItems containsMixedTypes="1" containsNumber="1" containsInteger="1" minValue="0" maxValue="0" count="22">
        <s v="TF Truck (Contract)"/>
        <s v="(A)"/>
        <s v="Shared Garbage Carts"/>
        <s v="TF Truck"/>
        <s v="Shop Equipment"/>
        <s v="Curbside Recycling - Reg Truck"/>
        <s v="Garbage ASL Truck-Shared"/>
        <s v="Drop Box"/>
        <s v="Containers"/>
        <s v="Roll-off Truck"/>
        <s v="Mason Co. Trailers"/>
        <s v="Delivery"/>
        <s v="Office Equipment"/>
        <s v="Old"/>
        <s v="REL Comm MSW Truck"/>
        <s v="Shelton - Garbage Carts"/>
        <s v="Trks Shelton"/>
        <s v="Shared Recycle Carts"/>
        <s v="Carts - Recycling"/>
        <s v="Shelton - Commercial Containers"/>
        <n v="0"/>
        <e v="#N/A"/>
      </sharedItems>
    </cacheField>
    <cacheField name="Month" numFmtId="0">
      <sharedItems containsString="0" containsBlank="1" containsNumber="1" containsInteger="1" minValue="1" maxValue="12"/>
    </cacheField>
    <cacheField name="YearPIS" numFmtId="0">
      <sharedItems containsString="0" containsBlank="1" containsNumber="1" containsInteger="1" minValue="1988" maxValue="2024"/>
    </cacheField>
    <cacheField name="Year Fully Dep" numFmtId="0">
      <sharedItems containsString="0" containsBlank="1" containsNumber="1" minValue="2001" maxValue="2035"/>
    </cacheField>
    <cacheField name="Year/Mo Fully Dep" numFmtId="0">
      <sharedItems containsString="0" containsBlank="1" containsNumber="1" minValue="2001.5833333333333" maxValue="2035.8333333333333"/>
    </cacheField>
    <cacheField name="Monthly Dep" numFmtId="0">
      <sharedItems containsString="0" containsBlank="1" containsNumber="1" minValue="-618.47691256830615" maxValue="3292.8900833333332"/>
    </cacheField>
    <cacheField name="Annual Dep" numFmtId="0">
      <sharedItems containsString="0" containsBlank="1" containsNumber="1" minValue="-7421.7229508196742" maxValue="39514.680999999997"/>
    </cacheField>
    <cacheField name="Test Year Dep" numFmtId="0">
      <sharedItems containsString="0" containsBlank="1" containsNumber="1" minValue="-1085" maxValue="39514.680999999997"/>
    </cacheField>
    <cacheField name="BOY Accum" numFmtId="0">
      <sharedItems containsString="0" containsBlank="1" containsNumber="1" minValue="-45272.51" maxValue="99553.75"/>
    </cacheField>
    <cacheField name="EOY Accum" numFmtId="0">
      <sharedItems containsString="0" containsBlank="1" containsNumber="1" minValue="-45272.51" maxValue="101672.43599999697"/>
    </cacheField>
    <cacheField name="EOY Average Investment" numFmtId="0">
      <sharedItems containsString="0" containsBlank="1" containsNumber="1" minValue="-2170" maxValue="330467.10991666967"/>
    </cacheField>
    <cacheField name="Pre 8/1/21 Add?" numFmtId="0">
      <sharedItems containsBlank="1" count="2">
        <s v="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">
  <r>
    <n v="2149"/>
    <n v="404472"/>
    <n v="404157"/>
    <s v="Capitalized"/>
    <s v="Licensing - Transfer Tractor"/>
    <m/>
    <m/>
    <n v="1"/>
    <s v="1XPCP40X8RD678321"/>
    <n v="2024"/>
    <s v="NA"/>
    <s v="NA"/>
    <s v="TRUCKS AND TRAILERS"/>
    <s v="TRANSFER TRACTOR"/>
    <s v="Road Tractor"/>
    <m/>
    <m/>
    <d v="2024-02-15T00:00:00"/>
    <d v="2024-03-31T00:00:00"/>
    <s v="2149-24-0009-1"/>
    <n v="1000"/>
    <n v="14040"/>
    <n v="3559.25"/>
    <n v="14046"/>
    <n v="88.98"/>
    <n v="3470.27"/>
    <n v="88.98"/>
    <n v="51260"/>
    <n v="29.66"/>
    <s v="P"/>
    <m/>
    <m/>
    <s v=" "/>
    <s v="STL"/>
    <s v="YES"/>
    <n v="0"/>
    <s v="TF Truck"/>
    <x v="0"/>
    <n v="2"/>
    <n v="2024"/>
    <n v="2034"/>
    <n v="2034.1666666666667"/>
    <n v="29.660416666666666"/>
    <n v="355.92500000000001"/>
    <n v="355.92500000000001"/>
    <n v="0"/>
    <n v="355.92500000000001"/>
    <n v="3203.3249999999998"/>
    <x v="0"/>
  </r>
  <r>
    <n v="2149"/>
    <n v="404305"/>
    <s v="P"/>
    <s v="Capitalized"/>
    <s v="95 Gal Carts"/>
    <m/>
    <m/>
    <n v="200"/>
    <m/>
    <n v="0"/>
    <m/>
    <m/>
    <s v="CONTAINERS"/>
    <s v="CARTS PLASTIC"/>
    <m/>
    <s v="95 Gal"/>
    <s v="Carts/Toters"/>
    <d v="2024-03-18T00:00:00"/>
    <d v="2024-03-18T00:00:00"/>
    <s v="2149-24-0012-1"/>
    <n v="700"/>
    <n v="14050"/>
    <n v="11216.73"/>
    <n v="14056"/>
    <n v="133.53"/>
    <n v="11083.199999999999"/>
    <n v="133.53"/>
    <n v="54260"/>
    <n v="133.53"/>
    <s v="P"/>
    <m/>
    <m/>
    <s v=" "/>
    <s v="STL"/>
    <s v="YES"/>
    <m/>
    <s v="(A)"/>
    <x v="1"/>
    <n v="3"/>
    <n v="2024"/>
    <n v="2031"/>
    <n v="2031.25"/>
    <n v="133.5325"/>
    <n v="1602.3899999999999"/>
    <n v="1602.3899999999999"/>
    <n v="0"/>
    <n v="1602.3899999999999"/>
    <n v="9614.34"/>
    <x v="0"/>
  </r>
  <r>
    <n v="2149"/>
    <n v="404304"/>
    <s v="P"/>
    <s v="Capitalized"/>
    <s v="65 Gal Carts"/>
    <m/>
    <m/>
    <n v="200"/>
    <m/>
    <n v="0"/>
    <m/>
    <m/>
    <s v="CONTAINERS"/>
    <s v="CARTS PLASTIC"/>
    <m/>
    <s v="65 Gal"/>
    <s v="Carts/Toters"/>
    <d v="2024-03-18T00:00:00"/>
    <d v="2024-03-18T00:00:00"/>
    <s v="2149-24-0012-1"/>
    <n v="700"/>
    <n v="14050"/>
    <n v="10611.3"/>
    <n v="14056"/>
    <n v="126.33"/>
    <n v="10484.969999999999"/>
    <n v="126.33"/>
    <n v="54260"/>
    <n v="126.33"/>
    <s v="P"/>
    <m/>
    <m/>
    <s v=" "/>
    <s v="STL"/>
    <s v="YES"/>
    <m/>
    <s v="Shared Garbage Carts"/>
    <x v="2"/>
    <n v="3"/>
    <n v="2024"/>
    <n v="2031"/>
    <n v="2031.25"/>
    <n v="126.32499999999999"/>
    <n v="1515.8999999999999"/>
    <n v="1515.8999999999999"/>
    <n v="0"/>
    <n v="1515.8999999999999"/>
    <n v="9095.4"/>
    <x v="0"/>
  </r>
  <r>
    <n v="2149"/>
    <n v="404277"/>
    <s v="P"/>
    <s v="Capitalized"/>
    <s v="95 Gal Carts"/>
    <m/>
    <m/>
    <n v="340"/>
    <m/>
    <n v="0"/>
    <m/>
    <m/>
    <s v="CONTAINERS"/>
    <s v="CARTS PLASTIC"/>
    <m/>
    <s v="95 Gal"/>
    <s v="Carts/Toters"/>
    <d v="2024-03-18T00:00:00"/>
    <d v="2024-03-18T00:00:00"/>
    <s v="2149-24-0012-1"/>
    <n v="700"/>
    <n v="14050"/>
    <n v="19068.439999999999"/>
    <n v="14056"/>
    <n v="227.01"/>
    <n v="18841.43"/>
    <n v="227.01"/>
    <n v="54260"/>
    <n v="227.01"/>
    <s v="P"/>
    <m/>
    <m/>
    <s v=" "/>
    <s v="STL"/>
    <s v="YES"/>
    <m/>
    <s v="(A)"/>
    <x v="1"/>
    <n v="3"/>
    <n v="2024"/>
    <n v="2031"/>
    <n v="2031.25"/>
    <n v="227.00523809523807"/>
    <n v="2724.062857142857"/>
    <n v="2724.062857142857"/>
    <n v="0"/>
    <n v="2724.062857142857"/>
    <n v="16344.377142857142"/>
    <x v="0"/>
  </r>
  <r>
    <n v="2149"/>
    <n v="404233"/>
    <s v="P"/>
    <s v="Capitalized"/>
    <s v="2024 Peterbilt 567 Transfer Tractor"/>
    <m/>
    <m/>
    <n v="1"/>
    <s v="1XPCP40XXRD678322"/>
    <n v="2024"/>
    <s v="NA"/>
    <s v="NA"/>
    <s v="TRUCKS AND TRAILERS"/>
    <s v="ROAD TRACTOR"/>
    <s v="Road Tractor"/>
    <m/>
    <m/>
    <d v="2024-02-07T00:00:00"/>
    <d v="2024-02-07T00:00:00"/>
    <s v="2149-24-0010-2"/>
    <n v="1000"/>
    <n v="14040"/>
    <n v="229615.72"/>
    <n v="14046"/>
    <n v="5740.38"/>
    <n v="223875.34"/>
    <n v="5740.38"/>
    <n v="51260"/>
    <n v="1913.46"/>
    <s v="P"/>
    <m/>
    <m/>
    <s v=" "/>
    <s v="STL"/>
    <s v="YES"/>
    <n v="0"/>
    <s v="TF Truck"/>
    <x v="0"/>
    <n v="2"/>
    <n v="2024"/>
    <n v="2034"/>
    <n v="2034.1666666666667"/>
    <n v="1913.4643333333333"/>
    <n v="22961.572"/>
    <n v="22961.572"/>
    <n v="0"/>
    <n v="22961.572"/>
    <n v="206654.14799999999"/>
    <x v="0"/>
  </r>
  <r>
    <n v="2149"/>
    <n v="404232"/>
    <s v="P"/>
    <s v="Capitalized"/>
    <s v="2025 Peterbilt 567 Transfer Tractor"/>
    <m/>
    <m/>
    <n v="1"/>
    <s v="1XPCPP0X3SD698788"/>
    <n v="2024"/>
    <s v="NA"/>
    <s v="NA"/>
    <s v="TRUCKS AND TRAILERS"/>
    <s v="ROAD TRACTOR"/>
    <s v="Road Tractor"/>
    <m/>
    <m/>
    <d v="2024-01-26T00:00:00"/>
    <d v="2024-01-26T00:00:00"/>
    <s v="2149-24-0010-1"/>
    <n v="1000"/>
    <n v="14040"/>
    <n v="224945.18"/>
    <n v="14046"/>
    <n v="5623.62"/>
    <n v="219321.56"/>
    <n v="5623.62"/>
    <n v="51260"/>
    <n v="1874.54"/>
    <s v="P"/>
    <m/>
    <m/>
    <s v=" "/>
    <s v="STL"/>
    <s v="YES"/>
    <n v="0"/>
    <s v="TF Truck"/>
    <x v="0"/>
    <n v="1"/>
    <n v="2024"/>
    <n v="2034"/>
    <n v="2034.0833333333333"/>
    <n v="1874.5431666666666"/>
    <n v="22494.518"/>
    <n v="22494.518"/>
    <n v="0"/>
    <n v="22494.518"/>
    <n v="202450.66199999998"/>
    <x v="0"/>
  </r>
  <r>
    <n v="2149"/>
    <n v="404157"/>
    <s v="P"/>
    <s v="Capitalized"/>
    <s v="2024 Peterbilt 567 Transfer Tractor"/>
    <m/>
    <m/>
    <n v="1"/>
    <s v="1XPCP40X8RD678321"/>
    <n v="2024"/>
    <s v="NA"/>
    <s v="NA"/>
    <s v="TRUCKS AND TRAILERS"/>
    <s v="TRANSFER TRACTOR"/>
    <s v="Road Tractor"/>
    <m/>
    <m/>
    <d v="2024-02-15T00:00:00"/>
    <d v="2024-02-15T00:00:00"/>
    <s v="2149-24-0009-1"/>
    <n v="1000"/>
    <n v="14040"/>
    <n v="229615.72"/>
    <n v="14046"/>
    <n v="5740.38"/>
    <n v="223875.34"/>
    <n v="5740.38"/>
    <n v="51260"/>
    <n v="1913.46"/>
    <s v="P"/>
    <m/>
    <m/>
    <s v=" "/>
    <s v="STL"/>
    <s v="YES"/>
    <n v="0"/>
    <s v="TF Truck"/>
    <x v="0"/>
    <n v="2"/>
    <n v="2024"/>
    <n v="2034"/>
    <n v="2034.1666666666667"/>
    <n v="1913.4643333333333"/>
    <n v="22961.572"/>
    <n v="22961.572"/>
    <n v="0"/>
    <n v="22961.572"/>
    <n v="206654.14799999999"/>
    <x v="0"/>
  </r>
  <r>
    <n v="2149"/>
    <n v="402961"/>
    <n v="319219"/>
    <s v="Capitalized"/>
    <s v="Licensing for 2024 Peterbilt"/>
    <m/>
    <m/>
    <n v="1"/>
    <m/>
    <n v="2024"/>
    <s v="xxxx"/>
    <m/>
    <s v="TRUCKS AND TRAILERS"/>
    <s v="TBA"/>
    <s v="Road Tractor"/>
    <m/>
    <m/>
    <d v="2024-02-14T00:00:00"/>
    <d v="2024-02-14T00:00:00"/>
    <s v="2149-23-0015-1"/>
    <n v="1000"/>
    <n v="14040"/>
    <n v="3801.86"/>
    <n v="14046"/>
    <n v="95.04"/>
    <n v="3706.82"/>
    <n v="95.04"/>
    <n v="51260"/>
    <n v="31.68"/>
    <s v="P"/>
    <m/>
    <m/>
    <s v=" "/>
    <s v="STL"/>
    <s v="YES"/>
    <n v="0"/>
    <s v="TF Truck"/>
    <x v="3"/>
    <n v="2"/>
    <n v="2024"/>
    <n v="2034"/>
    <n v="2034.1666666666667"/>
    <n v="31.682166666666671"/>
    <n v="380.18600000000004"/>
    <n v="380.18600000000004"/>
    <n v="0"/>
    <n v="380.18600000000004"/>
    <n v="3421.674"/>
    <x v="0"/>
  </r>
  <r>
    <n v="2149"/>
    <n v="402951"/>
    <n v="319220"/>
    <s v="Capitalized"/>
    <s v="Licensing for 2024 Peterbilt"/>
    <m/>
    <m/>
    <n v="1"/>
    <m/>
    <n v="2024"/>
    <s v="xxxx"/>
    <m/>
    <s v="TRUCKS AND TRAILERS"/>
    <s v="TBA"/>
    <s v="Road Tractor"/>
    <m/>
    <m/>
    <d v="2024-02-14T00:00:00"/>
    <d v="2024-02-14T00:00:00"/>
    <s v="2149-23-0015-2"/>
    <n v="1000"/>
    <n v="14040"/>
    <n v="3801.86"/>
    <n v="14046"/>
    <n v="95.04"/>
    <n v="3706.82"/>
    <n v="95.04"/>
    <n v="51260"/>
    <n v="31.68"/>
    <s v="P"/>
    <m/>
    <m/>
    <s v=" "/>
    <s v="STL"/>
    <s v="YES"/>
    <n v="0"/>
    <s v="Curbside Recycling - Reg Truck"/>
    <x v="3"/>
    <n v="2"/>
    <n v="2024"/>
    <n v="2034"/>
    <n v="2034.1666666666667"/>
    <n v="31.682166666666671"/>
    <n v="380.18600000000004"/>
    <n v="380.18600000000004"/>
    <n v="0"/>
    <n v="380.18600000000004"/>
    <n v="3421.674"/>
    <x v="0"/>
  </r>
  <r>
    <n v="2149"/>
    <n v="400413"/>
    <n v="319219"/>
    <s v="Capitalized"/>
    <s v="Radio System"/>
    <m/>
    <m/>
    <n v="1"/>
    <m/>
    <n v="0"/>
    <s v="xxxx"/>
    <m/>
    <s v="TRUCKS AND TRAILERS"/>
    <s v="TBA"/>
    <m/>
    <m/>
    <m/>
    <d v="2024-01-02T00:00:00"/>
    <d v="2023-11-30T00:00:00"/>
    <s v="2149-23-0015-1"/>
    <n v="500"/>
    <n v="14040"/>
    <n v="1784.72"/>
    <n v="14046"/>
    <n v="119"/>
    <n v="1665.72"/>
    <n v="119"/>
    <n v="51260"/>
    <n v="29.75"/>
    <s v="P"/>
    <m/>
    <m/>
    <s v=" "/>
    <s v="STL"/>
    <s v="YES"/>
    <n v="0"/>
    <s v="TF Truck"/>
    <x v="3"/>
    <n v="1"/>
    <n v="2024"/>
    <n v="2029"/>
    <n v="2029.0833333333333"/>
    <n v="29.745333333333335"/>
    <n v="356.94400000000002"/>
    <n v="356.94400000000002"/>
    <n v="0"/>
    <n v="356.94400000000002"/>
    <n v="1427.7760000000001"/>
    <x v="0"/>
  </r>
  <r>
    <n v="2149"/>
    <n v="320806"/>
    <s v="P"/>
    <s v="Capitalized"/>
    <s v="Pressure Washer (Landa 2200 PSI)"/>
    <m/>
    <m/>
    <n v="1"/>
    <m/>
    <n v="0"/>
    <s v="AMB"/>
    <m/>
    <s v="SHOP EQUIPMENT"/>
    <s v="TBA"/>
    <m/>
    <m/>
    <m/>
    <d v="2023-11-30T00:00:00"/>
    <d v="2023-11-30T00:00:00"/>
    <s v="2149-23-0016-1"/>
    <n v="500"/>
    <n v="14070"/>
    <n v="12894.07"/>
    <n v="14076"/>
    <n v="1074.5"/>
    <n v="11819.57"/>
    <n v="859.6"/>
    <n v="51260"/>
    <n v="214.9"/>
    <s v="P"/>
    <m/>
    <m/>
    <s v=" "/>
    <s v="STL"/>
    <s v="YES"/>
    <n v="0"/>
    <s v="Shop Equipment"/>
    <x v="4"/>
    <n v="11"/>
    <n v="2023"/>
    <n v="2028"/>
    <n v="2028.9166666666667"/>
    <n v="214.90116666666665"/>
    <n v="2578.8139999999999"/>
    <n v="2578.8139999999999"/>
    <n v="0"/>
    <n v="2578.8139999999999"/>
    <n v="10315.255999999999"/>
    <x v="0"/>
  </r>
  <r>
    <n v="2149"/>
    <n v="320785"/>
    <n v="319219"/>
    <s v="Capitalized"/>
    <s v="Decals for Tractors"/>
    <m/>
    <m/>
    <n v="1"/>
    <m/>
    <n v="2024"/>
    <s v="xxxx"/>
    <s v="xxxx"/>
    <s v="TRUCKS AND TRAILERS"/>
    <s v="TBA"/>
    <s v="Non-Rolling Stock"/>
    <m/>
    <m/>
    <d v="2023-11-17T00:00:00"/>
    <d v="2023-11-17T00:00:00"/>
    <s v="2149-23-0015-1"/>
    <n v="1000"/>
    <n v="14040"/>
    <n v="347.2"/>
    <n v="14046"/>
    <n v="14.45"/>
    <n v="332.75"/>
    <n v="11.56"/>
    <n v="51260"/>
    <n v="2.89"/>
    <s v="P"/>
    <m/>
    <m/>
    <s v=" "/>
    <s v="STL"/>
    <s v="YES"/>
    <n v="0"/>
    <s v="TF Truck"/>
    <x v="3"/>
    <n v="11"/>
    <n v="2023"/>
    <n v="2033"/>
    <n v="2033.9166666666667"/>
    <n v="2.8933333333333331"/>
    <n v="34.72"/>
    <n v="34.72"/>
    <n v="0"/>
    <n v="34.72"/>
    <n v="312.48"/>
    <x v="0"/>
  </r>
  <r>
    <n v="2149"/>
    <n v="320069"/>
    <n v="319565"/>
    <s v="Capitalized"/>
    <s v="2024 Peterbilt ASL Truck - Body"/>
    <m/>
    <m/>
    <n v="1"/>
    <s v="3BPDLK0X7RF116263"/>
    <n v="2024"/>
    <s v="PO BOX 13040"/>
    <m/>
    <s v="TRUCKS AND TRAILERS"/>
    <s v="TBA"/>
    <s v="Non-Rolling Stock"/>
    <m/>
    <m/>
    <d v="2023-12-14T00:00:00"/>
    <d v="2023-12-14T00:00:00"/>
    <s v="2149-23-0002-1"/>
    <n v="1000"/>
    <n v="14040"/>
    <n v="213121.53"/>
    <n v="14046"/>
    <n v="8880.0499999999993"/>
    <n v="204241.48"/>
    <n v="7104.04"/>
    <n v="51260"/>
    <n v="1776.01"/>
    <s v="P"/>
    <m/>
    <m/>
    <s v=" "/>
    <s v="STL"/>
    <s v="YES"/>
    <n v="0"/>
    <s v="Curbside Recycling - Reg Truck"/>
    <x v="5"/>
    <n v="12"/>
    <n v="2023"/>
    <n v="2033"/>
    <n v="2034"/>
    <n v="1776.0127499999999"/>
    <n v="21312.152999999998"/>
    <n v="21312.152999999998"/>
    <n v="0"/>
    <n v="21312.152999999998"/>
    <n v="191809.37700000001"/>
    <x v="0"/>
  </r>
  <r>
    <n v="2149"/>
    <n v="320068"/>
    <n v="317370"/>
    <s v="Capitalized"/>
    <s v="2024 Peterbilt ASL Truck - Body"/>
    <m/>
    <m/>
    <n v="1"/>
    <s v="3BPDLK0X5RF116262"/>
    <n v="2024"/>
    <s v="PO BOX 13040"/>
    <m/>
    <s v="TRUCKS AND TRAILERS"/>
    <s v="TBA"/>
    <s v="Non-Rolling Stock"/>
    <m/>
    <m/>
    <d v="2023-11-10T00:00:00"/>
    <d v="2023-11-10T00:00:00"/>
    <s v="2149-23-0001-1"/>
    <n v="1000"/>
    <n v="14040"/>
    <n v="213121.53"/>
    <n v="14046"/>
    <n v="10656.07"/>
    <n v="202465.46"/>
    <n v="7104.04"/>
    <n v="51260"/>
    <n v="1776.01"/>
    <s v="P"/>
    <m/>
    <m/>
    <s v=" "/>
    <s v="STL"/>
    <s v="YES"/>
    <n v="0"/>
    <s v="Garbage ASL Truck-Shared"/>
    <x v="6"/>
    <n v="11"/>
    <n v="2023"/>
    <n v="2033"/>
    <n v="2033.9166666666667"/>
    <n v="1776.0127499999999"/>
    <n v="21312.152999999998"/>
    <n v="21312.152999999998"/>
    <n v="0"/>
    <n v="21312.152999999998"/>
    <n v="191809.37700000001"/>
    <x v="0"/>
  </r>
  <r>
    <n v="2149"/>
    <n v="319565"/>
    <s v="P"/>
    <s v="Capitalized"/>
    <s v="2024 Peterbilt ASL Truck"/>
    <m/>
    <m/>
    <n v="1"/>
    <s v="3BPDLK0X7RF116263"/>
    <n v="2024"/>
    <m/>
    <m/>
    <s v="TRUCKS AND TRAILERS"/>
    <s v="TBA"/>
    <s v="Automated Side Loader"/>
    <m/>
    <m/>
    <d v="2023-12-14T00:00:00"/>
    <d v="2023-12-14T00:00:00"/>
    <s v="2149-23-0002-1"/>
    <n v="1000"/>
    <n v="14040"/>
    <n v="224979.20000000001"/>
    <n v="14046"/>
    <n v="9374.15"/>
    <n v="215605.05000000002"/>
    <n v="7499.32"/>
    <n v="51260"/>
    <n v="1874.83"/>
    <s v="P"/>
    <m/>
    <m/>
    <s v=" "/>
    <s v="STL"/>
    <s v="YES"/>
    <n v="0"/>
    <s v="Curbside Recycling - Reg Truck"/>
    <x v="5"/>
    <n v="12"/>
    <n v="2023"/>
    <n v="2033"/>
    <n v="2034"/>
    <n v="1874.8266666666668"/>
    <n v="22497.920000000002"/>
    <n v="22497.920000000002"/>
    <n v="0"/>
    <n v="22497.920000000002"/>
    <n v="202481.28"/>
    <x v="0"/>
  </r>
  <r>
    <n v="2149"/>
    <n v="319220"/>
    <s v="P"/>
    <s v="Capitalized"/>
    <s v="2024 Peterbilt 567 Transfer Tractor"/>
    <m/>
    <m/>
    <n v="1"/>
    <s v="1XPCP40X6RD678320"/>
    <n v="2024"/>
    <m/>
    <m/>
    <s v="TRUCKS AND TRAILERS"/>
    <s v="TBA"/>
    <s v="Transfer Tractor"/>
    <m/>
    <m/>
    <d v="2023-11-17T00:00:00"/>
    <d v="2023-11-17T00:00:00"/>
    <s v="2149-23-0015-2"/>
    <n v="1000"/>
    <n v="14040"/>
    <n v="229615.72"/>
    <n v="14046"/>
    <n v="9567.31"/>
    <n v="220048.41"/>
    <n v="7653.84"/>
    <n v="51260"/>
    <n v="1913.46"/>
    <s v="P"/>
    <m/>
    <m/>
    <s v=" "/>
    <s v="STL"/>
    <s v="YES"/>
    <n v="0"/>
    <s v="TF Truck"/>
    <x v="3"/>
    <n v="11"/>
    <n v="2023"/>
    <n v="2033"/>
    <n v="2033.9166666666667"/>
    <n v="1913.4643333333333"/>
    <n v="22961.572"/>
    <n v="22961.572"/>
    <n v="0"/>
    <n v="22961.572"/>
    <n v="206654.14799999999"/>
    <x v="0"/>
  </r>
  <r>
    <n v="2149"/>
    <n v="319219"/>
    <s v="P"/>
    <s v="Capitalized"/>
    <s v="2024 Peterbilt 567 Transfer Tractor"/>
    <m/>
    <m/>
    <n v="1"/>
    <s v="1XPCP40XXRD678319"/>
    <n v="2024"/>
    <m/>
    <m/>
    <s v="TRUCKS AND TRAILERS"/>
    <s v="TBA"/>
    <s v="Transfer Tractor"/>
    <m/>
    <m/>
    <d v="2023-11-17T00:00:00"/>
    <d v="2023-11-17T00:00:00"/>
    <s v="2149-23-0015-1"/>
    <n v="1000"/>
    <n v="14040"/>
    <n v="229615.72"/>
    <n v="14046"/>
    <n v="9567.31"/>
    <n v="220048.41"/>
    <n v="7653.84"/>
    <n v="51260"/>
    <n v="1913.46"/>
    <s v="P"/>
    <m/>
    <m/>
    <s v=" "/>
    <s v="STL"/>
    <s v="YES"/>
    <n v="0"/>
    <s v="TF Truck"/>
    <x v="3"/>
    <n v="11"/>
    <n v="2023"/>
    <n v="2033"/>
    <n v="2033.9166666666667"/>
    <n v="1913.4643333333333"/>
    <n v="22961.572"/>
    <n v="22961.572"/>
    <n v="0"/>
    <n v="22961.572"/>
    <n v="206654.14799999999"/>
    <x v="0"/>
  </r>
  <r>
    <n v="2149"/>
    <n v="317759"/>
    <s v="P"/>
    <s v="Capitalized"/>
    <s v="20YD ROL Box"/>
    <m/>
    <m/>
    <n v="3"/>
    <m/>
    <n v="0"/>
    <s v="5801 THIRD AVENUE SOUTH"/>
    <m/>
    <s v="CONTAINERS"/>
    <s v="TBA"/>
    <m/>
    <s v="20 YD"/>
    <s v="RO Box"/>
    <d v="2023-10-30T00:00:00"/>
    <d v="2023-10-30T00:00:00"/>
    <s v="2149-23-0013-2"/>
    <n v="1200"/>
    <n v="14050"/>
    <n v="19950"/>
    <n v="14056"/>
    <n v="831.24"/>
    <n v="19118.759999999998"/>
    <n v="554.16"/>
    <n v="54260"/>
    <n v="138.54"/>
    <s v="P"/>
    <m/>
    <m/>
    <s v=" "/>
    <s v="STL"/>
    <s v="YES"/>
    <n v="0"/>
    <s v="Drop Box"/>
    <x v="7"/>
    <n v="10"/>
    <n v="2023"/>
    <n v="2035"/>
    <n v="2035.8333333333333"/>
    <n v="138.54166666666666"/>
    <n v="1662.5"/>
    <n v="1662.5"/>
    <n v="0"/>
    <n v="1662.5"/>
    <n v="18287.5"/>
    <x v="0"/>
  </r>
  <r>
    <n v="2149"/>
    <n v="317568"/>
    <s v="P"/>
    <s v="Capitalized"/>
    <s v="20 YD RO Box"/>
    <m/>
    <m/>
    <n v="3"/>
    <m/>
    <n v="0"/>
    <s v="5801 THIRD AVENUE SOUTH"/>
    <m/>
    <s v="CONTAINERS"/>
    <s v="TBA"/>
    <m/>
    <s v="20 YD"/>
    <s v="RO Box"/>
    <d v="2023-10-30T00:00:00"/>
    <d v="2023-10-30T00:00:00"/>
    <s v="2149-23-0013-2"/>
    <n v="1200"/>
    <n v="14050"/>
    <n v="19950"/>
    <n v="14056"/>
    <n v="831.24"/>
    <n v="19118.759999999998"/>
    <n v="554.16"/>
    <n v="54260"/>
    <n v="138.54"/>
    <s v="P"/>
    <m/>
    <m/>
    <s v=" "/>
    <s v="STL"/>
    <s v="YES"/>
    <n v="0"/>
    <s v="Drop Box"/>
    <x v="7"/>
    <n v="10"/>
    <n v="2023"/>
    <n v="2035"/>
    <n v="2035.8333333333333"/>
    <n v="138.54166666666666"/>
    <n v="1662.5"/>
    <n v="1662.5"/>
    <n v="0"/>
    <n v="1662.5"/>
    <n v="18287.5"/>
    <x v="0"/>
  </r>
  <r>
    <n v="2149"/>
    <n v="317566"/>
    <s v="P"/>
    <s v="Capitalized"/>
    <s v="1.5YD REL Containers"/>
    <m/>
    <m/>
    <n v="10"/>
    <m/>
    <n v="0"/>
    <s v="5801 THIRD AVENUE SOUTH"/>
    <m/>
    <s v="CONTAINERS"/>
    <s v="TBA"/>
    <m/>
    <s v="1.5YD"/>
    <s v="FEL/REL/SL Metal"/>
    <d v="2023-10-30T00:00:00"/>
    <d v="2023-10-30T00:00:00"/>
    <s v="2149-23-0013-1"/>
    <n v="1200"/>
    <n v="14050"/>
    <n v="8100"/>
    <n v="14056"/>
    <n v="337.5"/>
    <n v="7762.5"/>
    <n v="225"/>
    <n v="54260"/>
    <n v="56.25"/>
    <s v="P"/>
    <m/>
    <m/>
    <s v=" "/>
    <s v="STL"/>
    <s v="YES"/>
    <n v="0"/>
    <s v="Containers"/>
    <x v="8"/>
    <n v="10"/>
    <n v="2023"/>
    <n v="2035"/>
    <n v="2035.8333333333333"/>
    <n v="56.25"/>
    <n v="675"/>
    <n v="675"/>
    <n v="0"/>
    <n v="675"/>
    <n v="7425"/>
    <x v="0"/>
  </r>
  <r>
    <n v="2149"/>
    <n v="317370"/>
    <s v="P"/>
    <s v="Capitalized"/>
    <s v="2024 Peterbilt ASL Truck"/>
    <m/>
    <m/>
    <n v="1"/>
    <s v="3BPDLK0X5RF116262"/>
    <n v="2024"/>
    <m/>
    <m/>
    <s v="TRUCKS AND TRAILERS"/>
    <s v="TBA"/>
    <s v="Automated Side Loader"/>
    <m/>
    <m/>
    <d v="2023-11-10T00:00:00"/>
    <d v="2023-11-10T00:00:00"/>
    <s v="2149-23-0001-1"/>
    <n v="1000"/>
    <n v="14040"/>
    <n v="224979.20000000001"/>
    <n v="14046"/>
    <n v="11248.97"/>
    <n v="213730.23"/>
    <n v="7499.32"/>
    <n v="51260"/>
    <n v="1874.83"/>
    <s v="P"/>
    <m/>
    <m/>
    <s v=" "/>
    <s v="STL"/>
    <s v="YES"/>
    <n v="0"/>
    <s v="Garbage ASL Truck-Shared"/>
    <x v="6"/>
    <n v="11"/>
    <n v="2023"/>
    <n v="2033"/>
    <n v="2033.9166666666667"/>
    <n v="1874.8266666666668"/>
    <n v="22497.920000000002"/>
    <n v="22497.920000000002"/>
    <n v="0"/>
    <n v="22497.920000000002"/>
    <n v="202481.28"/>
    <x v="0"/>
  </r>
  <r>
    <n v="2149"/>
    <n v="317025"/>
    <n v="315530"/>
    <s v="Capitalized"/>
    <s v="2023 Peterbilt ROL Truck- Body"/>
    <m/>
    <m/>
    <n v="1"/>
    <s v="1NPCX4EX5PD867895"/>
    <n v="0"/>
    <s v="PO BOX 13040"/>
    <m/>
    <s v="TRUCKS AND TRAILERS"/>
    <s v="TBA"/>
    <s v="Roll Off"/>
    <m/>
    <m/>
    <d v="2023-10-12T00:00:00"/>
    <d v="2023-10-12T00:00:00"/>
    <s v="2149-23-0003-1"/>
    <n v="1000"/>
    <n v="14040"/>
    <n v="102792.9"/>
    <n v="14046"/>
    <n v="5996.26"/>
    <n v="96796.64"/>
    <n v="3426.44"/>
    <n v="51260"/>
    <n v="856.61"/>
    <s v="P"/>
    <m/>
    <m/>
    <s v=" "/>
    <s v="STL"/>
    <s v="YES"/>
    <n v="0"/>
    <s v="Roll-off Truck"/>
    <x v="9"/>
    <n v="10"/>
    <n v="2023"/>
    <n v="2033"/>
    <n v="2033.8333333333333"/>
    <n v="856.60749999999996"/>
    <n v="10279.289999999999"/>
    <n v="10279.289999999999"/>
    <n v="0"/>
    <n v="10279.289999999999"/>
    <n v="92513.61"/>
    <x v="0"/>
  </r>
  <r>
    <n v="2149"/>
    <n v="316868"/>
    <s v="P"/>
    <s v="Capitalized"/>
    <s v="2008 Type HT C-C Trailer"/>
    <m/>
    <m/>
    <n v="1"/>
    <s v="1H9CC53438T347131"/>
    <n v="2008"/>
    <s v="HELM"/>
    <s v="Other"/>
    <s v="TRUCKS AND TRAILERS"/>
    <s v="TBA"/>
    <s v="Other Trailer"/>
    <m/>
    <m/>
    <d v="2008-11-03T00:00:00"/>
    <d v="2008-11-03T00:00:00"/>
    <m/>
    <n v="600"/>
    <n v="14040"/>
    <n v="45277.3"/>
    <n v="14046"/>
    <n v="45277.3"/>
    <n v="0"/>
    <n v="0"/>
    <n v="51260"/>
    <n v="0"/>
    <s v="A"/>
    <s v="LeMay Enterprises"/>
    <n v="8911"/>
    <s v=" "/>
    <s v="STL"/>
    <s v="YES"/>
    <n v="8911"/>
    <s v="Mason Co. Trailers"/>
    <x v="10"/>
    <n v="11"/>
    <n v="2008"/>
    <n v="2014"/>
    <n v="2014.9166666666667"/>
    <n v="628.85138888888889"/>
    <n v="7546.2166666666672"/>
    <n v="0"/>
    <n v="45277.3"/>
    <n v="45277.3"/>
    <n v="0"/>
    <x v="0"/>
  </r>
  <r>
    <n v="2149"/>
    <n v="316867"/>
    <s v="P"/>
    <s v="Capitalized"/>
    <s v="Container Chassis"/>
    <m/>
    <m/>
    <n v="1"/>
    <s v="1H9CC53438T347135"/>
    <n v="2009"/>
    <m/>
    <m/>
    <s v="TRUCKS AND TRAILERS"/>
    <s v="TBA"/>
    <s v="Container Chassis"/>
    <m/>
    <m/>
    <d v="2009-01-01T00:00:00"/>
    <d v="2009-01-01T00:00:00"/>
    <s v="2180-8-0009-1"/>
    <n v="610"/>
    <n v="14040"/>
    <n v="-45272.51"/>
    <n v="14046"/>
    <n v="-45272.51"/>
    <n v="0"/>
    <n v="0"/>
    <n v="51260"/>
    <n v="0"/>
    <s v="P"/>
    <m/>
    <n v="8915"/>
    <s v=" "/>
    <s v="STL"/>
    <s v="YES"/>
    <n v="8915"/>
    <s v="Mason Co. Trailers"/>
    <x v="10"/>
    <n v="1"/>
    <n v="2009"/>
    <n v="2015.1"/>
    <n v="2015.1833333333332"/>
    <n v="-618.47691256830615"/>
    <n v="-7421.7229508196742"/>
    <n v="0"/>
    <n v="-45272.51"/>
    <n v="-45272.51"/>
    <n v="0"/>
    <x v="0"/>
  </r>
  <r>
    <n v="2149"/>
    <n v="316866"/>
    <s v="P"/>
    <s v="Capitalized"/>
    <s v="2009 Type HT C-C Trailer"/>
    <m/>
    <m/>
    <n v="1"/>
    <s v="1H9CC53498T347135"/>
    <n v="2009"/>
    <s v="HELM"/>
    <s v="Other"/>
    <s v="TRUCKS AND TRAILERS"/>
    <s v="TBA"/>
    <s v="Other Trailer"/>
    <m/>
    <m/>
    <d v="2008-11-03T00:00:00"/>
    <d v="2008-11-03T00:00:00"/>
    <m/>
    <n v="700"/>
    <n v="14040"/>
    <n v="45277.3"/>
    <n v="14046"/>
    <n v="45277.3"/>
    <n v="0"/>
    <n v="0"/>
    <n v="51260"/>
    <n v="0"/>
    <s v="A"/>
    <s v="LeMay Enterprises"/>
    <n v="8915"/>
    <s v=" "/>
    <s v="STL"/>
    <s v="YES"/>
    <n v="8915"/>
    <s v="Mason Co. Trailers"/>
    <x v="10"/>
    <n v="11"/>
    <n v="2008"/>
    <n v="2015"/>
    <n v="2015.9166666666667"/>
    <n v="539.01547619047619"/>
    <n v="6468.1857142857143"/>
    <n v="0"/>
    <n v="45277.3"/>
    <n v="45277.3"/>
    <n v="0"/>
    <x v="0"/>
  </r>
  <r>
    <n v="2149"/>
    <n v="316865"/>
    <n v="316866"/>
    <s v="Capitalized"/>
    <s v="Container Chassis VIN 347135"/>
    <m/>
    <m/>
    <n v="1"/>
    <n v="347135"/>
    <n v="2008"/>
    <m/>
    <m/>
    <s v="TRUCKS AND TRAILERS"/>
    <s v="TBA"/>
    <s v="Container Chassis"/>
    <m/>
    <m/>
    <d v="2009-01-01T00:00:00"/>
    <d v="2009-01-01T00:00:00"/>
    <s v="2180-8-0009-1"/>
    <n v="611"/>
    <n v="14040"/>
    <n v="45272.51"/>
    <n v="14046"/>
    <n v="45272.51"/>
    <n v="0"/>
    <n v="0"/>
    <n v="51260"/>
    <n v="0"/>
    <s v="P"/>
    <m/>
    <m/>
    <s v=" "/>
    <s v="STL"/>
    <s v="YES"/>
    <n v="0"/>
    <s v="Mason Co. Trailers"/>
    <x v="10"/>
    <n v="1"/>
    <n v="2009"/>
    <n v="2015.11"/>
    <n v="2015.1933333333332"/>
    <n v="617.46467539552646"/>
    <n v="7409.5761047463175"/>
    <n v="0"/>
    <n v="45272.51"/>
    <n v="45272.51"/>
    <n v="0"/>
    <x v="0"/>
  </r>
  <r>
    <n v="2149"/>
    <n v="316391"/>
    <n v="316380"/>
    <s v="Capitalized"/>
    <s v="Improvement - Rear Support Bolster"/>
    <m/>
    <m/>
    <n v="1"/>
    <m/>
    <n v="0"/>
    <s v="CAPITAL INDUSTRIAL SUPPLY"/>
    <m/>
    <s v="TRUCKS AND TRAILERS"/>
    <s v="TBA"/>
    <s v="Non-Rolling Stock"/>
    <m/>
    <m/>
    <d v="2015-12-02T00:00:00"/>
    <d v="2015-12-02T00:00:00"/>
    <s v="2189-15-0008-1"/>
    <n v="300"/>
    <n v="14040"/>
    <n v="3484.8"/>
    <n v="14046"/>
    <n v="3484.8"/>
    <n v="0"/>
    <n v="0"/>
    <n v="51260"/>
    <n v="0"/>
    <s v="P"/>
    <m/>
    <m/>
    <s v=" "/>
    <s v="STL"/>
    <s v="YES"/>
    <n v="0"/>
    <s v="Mason Co. Trailers"/>
    <x v="10"/>
    <n v="12"/>
    <n v="2015"/>
    <n v="2018"/>
    <n v="2019"/>
    <n v="96.800000000000011"/>
    <n v="1161.6000000000001"/>
    <n v="0"/>
    <n v="3484.8"/>
    <n v="3484.8"/>
    <n v="0"/>
    <x v="0"/>
  </r>
  <r>
    <n v="2149"/>
    <n v="316390"/>
    <n v="316369"/>
    <s v="Capitalized"/>
    <s v="Repair Intermodal Trailer Unit #8848"/>
    <m/>
    <m/>
    <n v="1"/>
    <m/>
    <n v="0"/>
    <s v="CAPITAL INDUSTRIAL"/>
    <m/>
    <s v="TRUCKS AND TRAILERS"/>
    <s v="TBA"/>
    <s v="Non-Rolling Stock"/>
    <m/>
    <m/>
    <d v="2015-07-31T00:00:00"/>
    <d v="2015-07-31T00:00:00"/>
    <s v="2189-15-0007-1"/>
    <n v="300"/>
    <n v="14040"/>
    <n v="3597.31"/>
    <n v="14046"/>
    <n v="3597.31"/>
    <n v="0"/>
    <n v="0"/>
    <n v="51260"/>
    <n v="0"/>
    <s v="P"/>
    <m/>
    <m/>
    <s v=" "/>
    <s v="STL"/>
    <s v="YES"/>
    <n v="0"/>
    <s v="Mason Co. Trailers"/>
    <x v="10"/>
    <n v="7"/>
    <n v="2015"/>
    <n v="2018"/>
    <n v="2018.5833333333333"/>
    <n v="99.925277777777765"/>
    <n v="1199.1033333333332"/>
    <n v="0"/>
    <n v="3597.31"/>
    <n v="3597.31"/>
    <n v="0"/>
    <x v="0"/>
  </r>
  <r>
    <n v="2149"/>
    <n v="316389"/>
    <n v="316368"/>
    <s v="Capitalized"/>
    <s v="MODIFY TRAILER 8845"/>
    <m/>
    <m/>
    <n v="1"/>
    <m/>
    <n v="0"/>
    <s v="CAPITAL INDUSTRIAL"/>
    <m/>
    <s v="TRUCKS AND TRAILERS"/>
    <s v="TBA"/>
    <s v="Non-Rolling Stock"/>
    <m/>
    <m/>
    <d v="2012-08-31T00:00:00"/>
    <d v="2012-08-31T00:00:00"/>
    <s v="2189-12-0021-1"/>
    <n v="300"/>
    <n v="14040"/>
    <n v="3402.2"/>
    <n v="14046"/>
    <n v="3402.2"/>
    <n v="0"/>
    <n v="0"/>
    <n v="51260"/>
    <n v="0"/>
    <s v="P"/>
    <m/>
    <m/>
    <s v=" "/>
    <s v="STL"/>
    <s v="YES"/>
    <n v="0"/>
    <s v="Mason Co. Trailers"/>
    <x v="10"/>
    <n v="8"/>
    <n v="2012"/>
    <n v="2015"/>
    <n v="2015.6666666666667"/>
    <n v="94.505555555555546"/>
    <n v="1134.0666666666666"/>
    <n v="0"/>
    <n v="3402.2"/>
    <n v="3402.2"/>
    <n v="0"/>
    <x v="0"/>
  </r>
  <r>
    <n v="2149"/>
    <n v="316388"/>
    <n v="316381"/>
    <s v="Capitalized"/>
    <s v="Intermodal Chassis Trailer Improvement #8839"/>
    <m/>
    <m/>
    <n v="1"/>
    <m/>
    <n v="0"/>
    <s v="CAPITAL INDUSTRIAL"/>
    <m/>
    <s v="TRUCKS AND TRAILERS"/>
    <s v="TBA"/>
    <s v="Non-Rolling Stock"/>
    <m/>
    <m/>
    <d v="2012-06-04T00:00:00"/>
    <d v="2012-06-04T00:00:00"/>
    <s v="2189-12-0017-1"/>
    <n v="300"/>
    <n v="14040"/>
    <n v="3864.18"/>
    <n v="14046"/>
    <n v="3864.18"/>
    <n v="0"/>
    <n v="0"/>
    <n v="51260"/>
    <n v="0"/>
    <s v="P"/>
    <m/>
    <m/>
    <s v=" "/>
    <s v="STL"/>
    <s v="YES"/>
    <n v="0"/>
    <s v="Mason Co. Trailers"/>
    <x v="10"/>
    <n v="6"/>
    <n v="2012"/>
    <n v="2015"/>
    <n v="2015.5"/>
    <n v="107.33833333333332"/>
    <n v="1288.06"/>
    <n v="0"/>
    <n v="3864.18"/>
    <n v="3864.18"/>
    <n v="0"/>
    <x v="0"/>
  </r>
  <r>
    <n v="2149"/>
    <n v="316387"/>
    <n v="316378"/>
    <s v="Capitalized"/>
    <s v="Install Crossmember in Trailer 8870"/>
    <m/>
    <m/>
    <n v="1"/>
    <m/>
    <n v="0"/>
    <s v="CAPITAL INDUSTRIAL"/>
    <m/>
    <s v="TRUCKS AND TRAILERS"/>
    <s v="TBA"/>
    <s v="Non-Rolling Stock"/>
    <m/>
    <m/>
    <d v="2012-03-22T00:00:00"/>
    <d v="2012-03-22T00:00:00"/>
    <s v="2189-12-0015-1"/>
    <n v="300"/>
    <n v="14040"/>
    <n v="3618.83"/>
    <n v="14046"/>
    <n v="3618.83"/>
    <n v="0"/>
    <n v="0"/>
    <n v="51260"/>
    <n v="0"/>
    <s v="P"/>
    <m/>
    <m/>
    <s v=" "/>
    <s v="STL"/>
    <s v="YES"/>
    <n v="0"/>
    <s v="Mason Co. Trailers"/>
    <x v="10"/>
    <n v="3"/>
    <n v="2012"/>
    <n v="2015"/>
    <n v="2015.25"/>
    <n v="100.52305555555556"/>
    <n v="1206.2766666666666"/>
    <n v="0"/>
    <n v="3618.83"/>
    <n v="3618.83"/>
    <n v="0"/>
    <x v="0"/>
  </r>
  <r>
    <n v="2149"/>
    <n v="316386"/>
    <n v="316377"/>
    <s v="Capitalized"/>
    <s v="Modify Trailer Unit# 8859"/>
    <m/>
    <m/>
    <n v="1"/>
    <m/>
    <n v="0"/>
    <s v="CAPITAL INDUSTRIES"/>
    <m/>
    <s v="TRUCKS AND TRAILERS"/>
    <s v="TBA"/>
    <s v="Non-Rolling Stock"/>
    <m/>
    <m/>
    <d v="2011-12-06T00:00:00"/>
    <d v="2011-12-06T00:00:00"/>
    <s v="2189-11-0032-1"/>
    <n v="300"/>
    <n v="14040"/>
    <n v="3379.22"/>
    <n v="14046"/>
    <n v="3379.22"/>
    <n v="0"/>
    <n v="0"/>
    <n v="51260"/>
    <n v="0"/>
    <s v="P"/>
    <m/>
    <m/>
    <s v=" "/>
    <s v="STL"/>
    <s v="YES"/>
    <n v="0"/>
    <s v="Mason Co. Trailers"/>
    <x v="10"/>
    <n v="12"/>
    <n v="2011"/>
    <n v="2014"/>
    <n v="2015"/>
    <n v="93.86722222222221"/>
    <n v="1126.4066666666665"/>
    <n v="0"/>
    <n v="3379.22"/>
    <n v="3379.22"/>
    <n v="0"/>
    <x v="0"/>
  </r>
  <r>
    <n v="2149"/>
    <n v="316385"/>
    <n v="316376"/>
    <s v="Capitalized"/>
    <s v="rear bolster installation to trailer 8844"/>
    <m/>
    <m/>
    <n v="1"/>
    <m/>
    <n v="0"/>
    <s v="CAPITAL INDUSTRIAL"/>
    <m/>
    <s v="TRUCKS AND TRAILERS"/>
    <s v="TBA"/>
    <s v="Non-Rolling Stock"/>
    <m/>
    <m/>
    <d v="2011-10-06T00:00:00"/>
    <d v="2011-10-06T00:00:00"/>
    <s v="2189-11-0028-1"/>
    <n v="300"/>
    <n v="14040"/>
    <n v="3442.05"/>
    <n v="14046"/>
    <n v="3442.05"/>
    <n v="0"/>
    <n v="0"/>
    <n v="51260"/>
    <n v="0"/>
    <s v="P"/>
    <m/>
    <m/>
    <s v=" "/>
    <s v="STL"/>
    <s v="YES"/>
    <n v="0"/>
    <s v="Mason Co. Trailers"/>
    <x v="10"/>
    <n v="10"/>
    <n v="2011"/>
    <n v="2014"/>
    <n v="2014.8333333333333"/>
    <n v="95.612500000000011"/>
    <n v="1147.3500000000001"/>
    <n v="0"/>
    <n v="3442.05"/>
    <n v="3442.05"/>
    <n v="0"/>
    <x v="0"/>
  </r>
  <r>
    <n v="2149"/>
    <n v="316384"/>
    <n v="316370"/>
    <s v="Capitalized"/>
    <s v="rear bolster installation to trailer 8858"/>
    <m/>
    <m/>
    <n v="1"/>
    <m/>
    <n v="0"/>
    <s v="CAPITAL INDUSTRIAL"/>
    <m/>
    <s v="TRUCKS AND TRAILERS"/>
    <s v="TBA"/>
    <s v="Non-Rolling Stock"/>
    <m/>
    <m/>
    <d v="2011-09-07T00:00:00"/>
    <d v="2011-09-07T00:00:00"/>
    <s v="2189-11-0024-1"/>
    <n v="300"/>
    <n v="14040"/>
    <n v="3456.55"/>
    <n v="14046"/>
    <n v="3456.55"/>
    <n v="0"/>
    <n v="0"/>
    <n v="51260"/>
    <n v="0"/>
    <s v="P"/>
    <m/>
    <m/>
    <s v=" "/>
    <s v="STL"/>
    <s v="YES"/>
    <n v="0"/>
    <s v="Mason Co. Trailers"/>
    <x v="10"/>
    <n v="9"/>
    <n v="2011"/>
    <n v="2014"/>
    <n v="2014.75"/>
    <n v="96.015277777777783"/>
    <n v="1152.1833333333334"/>
    <n v="0"/>
    <n v="3456.55"/>
    <n v="3456.55"/>
    <n v="0"/>
    <x v="0"/>
  </r>
  <r>
    <n v="2149"/>
    <n v="316383"/>
    <n v="316372"/>
    <s v="Capitalized"/>
    <s v="structural modifications to trailer (8869)"/>
    <m/>
    <m/>
    <n v="1"/>
    <m/>
    <n v="0"/>
    <s v="CAPITAL INDUSTRIAL"/>
    <m/>
    <s v="TRUCKS AND TRAILERS"/>
    <s v="TBA"/>
    <s v="Non-Rolling Stock"/>
    <m/>
    <m/>
    <d v="2011-08-17T00:00:00"/>
    <d v="2011-08-17T00:00:00"/>
    <s v="2189-11-0023-1"/>
    <n v="300"/>
    <n v="14040"/>
    <n v="3456.43"/>
    <n v="14046"/>
    <n v="3456.43"/>
    <n v="0"/>
    <n v="0"/>
    <n v="51260"/>
    <n v="0"/>
    <s v="P"/>
    <m/>
    <m/>
    <s v=" "/>
    <s v="STL"/>
    <s v="YES"/>
    <n v="0"/>
    <s v="Mason Co. Trailers"/>
    <x v="10"/>
    <n v="8"/>
    <n v="2011"/>
    <n v="2014"/>
    <n v="2014.6666666666667"/>
    <n v="96.011944444444438"/>
    <n v="1152.1433333333332"/>
    <n v="0"/>
    <n v="3456.43"/>
    <n v="3456.43"/>
    <n v="0"/>
    <x v="0"/>
  </r>
  <r>
    <n v="2149"/>
    <n v="316382"/>
    <n v="316371"/>
    <s v="Capitalized"/>
    <s v="Intermodal Chassis Trailer Improvement for Unit# 8865"/>
    <m/>
    <m/>
    <n v="1"/>
    <m/>
    <n v="0"/>
    <s v="Capital Industrial Inc."/>
    <m/>
    <s v="TRUCKS AND TRAILERS"/>
    <s v="TBA"/>
    <s v="Non-Rolling Stock"/>
    <m/>
    <m/>
    <d v="2011-06-08T00:00:00"/>
    <d v="2011-06-08T00:00:00"/>
    <s v="2189-11-0016-1"/>
    <n v="300"/>
    <n v="14040"/>
    <n v="3569.6"/>
    <n v="14046"/>
    <n v="3569.6"/>
    <n v="0"/>
    <n v="0"/>
    <n v="51260"/>
    <n v="0"/>
    <s v="P"/>
    <m/>
    <m/>
    <s v=" "/>
    <s v="STL"/>
    <s v="YES"/>
    <n v="0"/>
    <s v="Mason Co. Trailers"/>
    <x v="10"/>
    <n v="6"/>
    <n v="2011"/>
    <n v="2014"/>
    <n v="2014.5"/>
    <n v="99.155555555555551"/>
    <n v="1189.8666666666666"/>
    <n v="0"/>
    <n v="3569.6"/>
    <n v="3569.6"/>
    <n v="0"/>
    <x v="0"/>
  </r>
  <r>
    <n v="2149"/>
    <n v="316381"/>
    <s v="P"/>
    <s v="Capitalized"/>
    <s v="1998 Type HT C-C Trailer"/>
    <m/>
    <m/>
    <n v="1"/>
    <s v="1D9CS5343WT360032"/>
    <n v="1998"/>
    <s v="DELTA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39"/>
    <s v=" "/>
    <s v="STL"/>
    <s v="YES"/>
    <n v="8839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80"/>
    <s v="P"/>
    <s v="Capitalized"/>
    <s v="2008 Type HT C-C Trailer"/>
    <m/>
    <m/>
    <n v="1"/>
    <s v="1H9CC534X8T347130"/>
    <n v="2009"/>
    <s v="HELM"/>
    <s v="Other"/>
    <s v="TRUCKS AND TRAILERS"/>
    <s v="TBA"/>
    <s v="Other Trailer"/>
    <m/>
    <m/>
    <d v="2008-11-03T00:00:00"/>
    <d v="2008-11-03T00:00:00"/>
    <m/>
    <n v="600"/>
    <n v="14040"/>
    <n v="45277.3"/>
    <n v="14046"/>
    <n v="45277.3"/>
    <n v="0"/>
    <n v="0"/>
    <n v="51260"/>
    <n v="0"/>
    <s v="A"/>
    <s v="LeMay Enterprises"/>
    <n v="8910"/>
    <s v=" "/>
    <s v="STL"/>
    <s v="YES"/>
    <n v="8910"/>
    <s v="Mason Co. Trailers"/>
    <x v="10"/>
    <n v="11"/>
    <n v="2008"/>
    <n v="2014"/>
    <n v="2014.9166666666667"/>
    <n v="628.85138888888889"/>
    <n v="7546.2166666666672"/>
    <n v="0"/>
    <n v="45277.3"/>
    <n v="45277.3"/>
    <n v="0"/>
    <x v="0"/>
  </r>
  <r>
    <n v="2149"/>
    <n v="316379"/>
    <s v="P"/>
    <s v="Capitalized"/>
    <s v="2008 Type HT C-C Trailer"/>
    <m/>
    <m/>
    <n v="1"/>
    <s v="1H9CC53438T347129"/>
    <n v="2008"/>
    <s v="HELM"/>
    <s v="Other"/>
    <s v="TRUCKS AND TRAILERS"/>
    <s v="TBA"/>
    <s v="Other Trailer"/>
    <m/>
    <m/>
    <d v="2008-11-03T00:00:00"/>
    <d v="2008-11-03T00:00:00"/>
    <m/>
    <n v="600"/>
    <n v="14040"/>
    <n v="45277.3"/>
    <n v="14046"/>
    <n v="45277.3"/>
    <n v="0"/>
    <n v="0"/>
    <n v="51260"/>
    <n v="0"/>
    <s v="A"/>
    <s v="LeMay Enterprises"/>
    <n v="8909"/>
    <s v=" "/>
    <s v="STL"/>
    <s v="YES"/>
    <n v="8909"/>
    <s v="Mason Co. Trailers"/>
    <x v="10"/>
    <n v="11"/>
    <n v="2008"/>
    <n v="2014"/>
    <n v="2014.9166666666667"/>
    <n v="628.85138888888889"/>
    <n v="7546.2166666666672"/>
    <n v="0"/>
    <n v="45277.3"/>
    <n v="45277.3"/>
    <n v="0"/>
    <x v="0"/>
  </r>
  <r>
    <n v="2149"/>
    <n v="316378"/>
    <s v="P"/>
    <s v="Capitalized"/>
    <s v="2001 Type HT C-C Trailer"/>
    <m/>
    <m/>
    <n v="1"/>
    <s v="1H9CC53451T347042"/>
    <n v="2001"/>
    <s v="HELM"/>
    <s v="Other"/>
    <s v="TRUCKS AND TRAILERS"/>
    <s v="TBA"/>
    <s v="Other Trailer"/>
    <m/>
    <m/>
    <d v="2008-11-03T00:00:00"/>
    <d v="2008-11-03T00:00:00"/>
    <m/>
    <n v="300"/>
    <n v="14040"/>
    <n v="9000"/>
    <n v="14046"/>
    <n v="9000"/>
    <n v="0"/>
    <n v="0"/>
    <n v="51260"/>
    <n v="0"/>
    <s v="A"/>
    <s v="LeMay Enterprises"/>
    <n v="8870"/>
    <s v=" "/>
    <s v="STL"/>
    <s v="YES"/>
    <n v="8870"/>
    <s v="Mason Co. Trailers"/>
    <x v="10"/>
    <n v="11"/>
    <n v="2008"/>
    <n v="2011"/>
    <n v="2011.9166666666667"/>
    <n v="250"/>
    <n v="3000"/>
    <n v="0"/>
    <n v="9000"/>
    <n v="9000"/>
    <n v="0"/>
    <x v="0"/>
  </r>
  <r>
    <n v="2149"/>
    <n v="316377"/>
    <s v="P"/>
    <s v="Capitalized"/>
    <s v="1999 Type HT C-C Trailer"/>
    <m/>
    <m/>
    <n v="1"/>
    <s v="1H9CC534XXT347014"/>
    <n v="1999"/>
    <s v="HELM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59"/>
    <s v=" "/>
    <s v="STL"/>
    <s v="YES"/>
    <n v="8859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76"/>
    <s v="P"/>
    <s v="Capitalized"/>
    <s v="1998 Type HT C-C Trailer"/>
    <m/>
    <m/>
    <n v="1"/>
    <s v="1D9CS5344WT360042"/>
    <n v="1998"/>
    <s v="DELTA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44"/>
    <s v=" "/>
    <s v="STL"/>
    <s v="YES"/>
    <n v="8844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75"/>
    <s v="P"/>
    <s v="Capitalized"/>
    <s v="1994 Type HT C-C Trailer"/>
    <m/>
    <m/>
    <n v="1"/>
    <s v="1G9CH5343R1109017"/>
    <n v="1994"/>
    <s v="WABASH"/>
    <s v="Other"/>
    <s v="TRUCKS AND TRAILERS"/>
    <s v="TBA"/>
    <s v="Other Trailer"/>
    <m/>
    <m/>
    <d v="2008-11-03T00:00:00"/>
    <d v="2008-11-03T00:00:00"/>
    <m/>
    <n v="300"/>
    <n v="14040"/>
    <n v="2500"/>
    <n v="14046"/>
    <n v="2500"/>
    <n v="0"/>
    <n v="0"/>
    <n v="51260"/>
    <n v="0"/>
    <s v="A"/>
    <s v="LeMay Enterprises"/>
    <n v="8816"/>
    <s v=" "/>
    <s v="STL"/>
    <s v="YES"/>
    <n v="8816"/>
    <s v="Mason Co. Trailers"/>
    <x v="10"/>
    <n v="11"/>
    <n v="2008"/>
    <n v="2011"/>
    <n v="2011.9166666666667"/>
    <n v="69.444444444444443"/>
    <n v="833.33333333333326"/>
    <n v="0"/>
    <n v="2500"/>
    <n v="2500"/>
    <n v="0"/>
    <x v="0"/>
  </r>
  <r>
    <n v="2149"/>
    <n v="316374"/>
    <s v="P"/>
    <s v="Capitalized"/>
    <s v="2009 Type HT C-C Trailer"/>
    <m/>
    <m/>
    <n v="1"/>
    <s v="1H9CC53478T347134"/>
    <n v="2009"/>
    <s v="HELM"/>
    <s v="Other"/>
    <s v="TRUCKS AND TRAILERS"/>
    <s v="TBA"/>
    <s v="Other Trailer"/>
    <m/>
    <m/>
    <d v="2008-11-03T00:00:00"/>
    <d v="2008-11-03T00:00:00"/>
    <m/>
    <n v="700"/>
    <n v="14040"/>
    <n v="45277.3"/>
    <n v="14046"/>
    <n v="45277.3"/>
    <n v="0"/>
    <n v="0"/>
    <n v="51260"/>
    <n v="0"/>
    <s v="A"/>
    <s v="LeMay Enterprises"/>
    <n v="8914"/>
    <s v=" "/>
    <s v="STL"/>
    <s v="YES"/>
    <n v="8914"/>
    <s v="Mason Co. Trailers"/>
    <x v="10"/>
    <n v="11"/>
    <n v="2008"/>
    <n v="2015"/>
    <n v="2015.9166666666667"/>
    <n v="539.01547619047619"/>
    <n v="6468.1857142857143"/>
    <n v="0"/>
    <n v="45277.3"/>
    <n v="45277.3"/>
    <n v="0"/>
    <x v="0"/>
  </r>
  <r>
    <n v="2149"/>
    <n v="316373"/>
    <s v="P"/>
    <s v="Capitalized"/>
    <s v="2009 Type HT C-C Trailer"/>
    <m/>
    <m/>
    <n v="1"/>
    <s v="1H9CC53438T347133"/>
    <n v="2009"/>
    <s v="HELM"/>
    <s v="Other"/>
    <s v="TRUCKS AND TRAILERS"/>
    <s v="TBA"/>
    <s v="Other Trailer"/>
    <m/>
    <m/>
    <d v="2008-11-03T00:00:00"/>
    <d v="2008-11-03T00:00:00"/>
    <m/>
    <n v="700"/>
    <n v="14040"/>
    <n v="45277.3"/>
    <n v="14046"/>
    <n v="45277.3"/>
    <n v="0"/>
    <n v="0"/>
    <n v="51260"/>
    <n v="0"/>
    <s v="A"/>
    <s v="LeMay Enterprises"/>
    <n v="8913"/>
    <s v=" "/>
    <s v="STL"/>
    <s v="YES"/>
    <n v="8913"/>
    <s v="Mason Co. Trailers"/>
    <x v="10"/>
    <n v="11"/>
    <n v="2008"/>
    <n v="2015"/>
    <n v="2015.9166666666667"/>
    <n v="539.01547619047619"/>
    <n v="6468.1857142857143"/>
    <n v="0"/>
    <n v="45277.3"/>
    <n v="45277.3"/>
    <n v="0"/>
    <x v="0"/>
  </r>
  <r>
    <n v="2149"/>
    <n v="316372"/>
    <s v="P"/>
    <s v="Capitalized"/>
    <s v="2000 Type HT C-C Trailer"/>
    <m/>
    <m/>
    <n v="1"/>
    <s v="1H9CC5346YT347030"/>
    <n v="2000"/>
    <s v="HELM"/>
    <s v="Other"/>
    <s v="TRUCKS AND TRAILERS"/>
    <s v="TBA"/>
    <s v="Other Trailer"/>
    <m/>
    <m/>
    <d v="2008-11-03T00:00:00"/>
    <d v="2008-11-03T00:00:00"/>
    <m/>
    <n v="300"/>
    <n v="14040"/>
    <n v="8000"/>
    <n v="14046"/>
    <n v="8000"/>
    <n v="0"/>
    <n v="0"/>
    <n v="51260"/>
    <n v="0"/>
    <s v="A"/>
    <s v="LeMay Enterprises"/>
    <n v="8869"/>
    <s v=" "/>
    <s v="STL"/>
    <s v="YES"/>
    <n v="8869"/>
    <s v="Mason Co. Trailers"/>
    <x v="10"/>
    <n v="11"/>
    <n v="2008"/>
    <n v="2011"/>
    <n v="2011.9166666666667"/>
    <n v="222.2222222222222"/>
    <n v="2666.6666666666665"/>
    <n v="0"/>
    <n v="8000"/>
    <n v="8000"/>
    <n v="0"/>
    <x v="0"/>
  </r>
  <r>
    <n v="2149"/>
    <n v="316371"/>
    <s v="P"/>
    <s v="Capitalized"/>
    <s v="1999 Type HT C-C Trailer"/>
    <m/>
    <m/>
    <n v="1"/>
    <s v="1H9CC5349XT347019"/>
    <n v="1999"/>
    <s v="HELM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65"/>
    <s v=" "/>
    <s v="STL"/>
    <s v="YES"/>
    <n v="8865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70"/>
    <s v="P"/>
    <s v="Capitalized"/>
    <s v="1999 Type HT C-C Trailer"/>
    <m/>
    <m/>
    <n v="1"/>
    <s v="1H9CC5348XT347013"/>
    <n v="1999"/>
    <s v="HELM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58"/>
    <s v=" "/>
    <s v="STL"/>
    <s v="YES"/>
    <n v="8858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69"/>
    <s v="P"/>
    <s v="Capitalized"/>
    <s v="1998 Type HT C-C Trailer"/>
    <m/>
    <m/>
    <n v="1"/>
    <s v="WA98190620"/>
    <n v="1998"/>
    <s v="HM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48"/>
    <s v=" "/>
    <s v="STL"/>
    <s v="YES"/>
    <n v="8848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68"/>
    <s v="P"/>
    <s v="Capitalized"/>
    <s v="1998 Type HT C-C Trailer"/>
    <m/>
    <m/>
    <n v="1"/>
    <s v="1D9CS5348WT360043"/>
    <n v="1998"/>
    <s v="DELTA"/>
    <s v="Other"/>
    <s v="TRUCKS AND TRAILERS"/>
    <s v="TBA"/>
    <s v="Other Trailer"/>
    <m/>
    <m/>
    <d v="2008-11-03T00:00:00"/>
    <d v="2008-11-03T00:00:00"/>
    <m/>
    <n v="300"/>
    <n v="14040"/>
    <n v="7000"/>
    <n v="14046"/>
    <n v="7000"/>
    <n v="0"/>
    <n v="0"/>
    <n v="51260"/>
    <n v="0"/>
    <s v="A"/>
    <s v="LeMay Enterprises"/>
    <n v="8845"/>
    <s v=" "/>
    <s v="STL"/>
    <s v="YES"/>
    <n v="8845"/>
    <s v="Mason Co. Trailers"/>
    <x v="10"/>
    <n v="11"/>
    <n v="2008"/>
    <n v="2011"/>
    <n v="2011.9166666666667"/>
    <n v="194.44444444444446"/>
    <n v="2333.3333333333335"/>
    <n v="0"/>
    <n v="7000"/>
    <n v="7000"/>
    <n v="0"/>
    <x v="0"/>
  </r>
  <r>
    <n v="2149"/>
    <n v="316367"/>
    <s v="P"/>
    <s v="Capitalized"/>
    <s v="1994 Type HT C-C Trailer"/>
    <m/>
    <m/>
    <n v="1"/>
    <s v="1G9CH5344R1109026"/>
    <n v="1994"/>
    <s v="WABASH"/>
    <s v="Other"/>
    <s v="TRUCKS AND TRAILERS"/>
    <s v="TBA"/>
    <s v="Other Trailer"/>
    <m/>
    <m/>
    <d v="2008-11-03T00:00:00"/>
    <d v="2008-11-03T00:00:00"/>
    <m/>
    <n v="300"/>
    <n v="14040"/>
    <n v="2500"/>
    <n v="14046"/>
    <n v="2500"/>
    <n v="0"/>
    <n v="0"/>
    <n v="51260"/>
    <n v="0"/>
    <s v="A"/>
    <s v="LeMay Enterprises"/>
    <n v="8825"/>
    <s v=" "/>
    <s v="STL"/>
    <s v="YES"/>
    <n v="8825"/>
    <s v="Mason Co. Trailers"/>
    <x v="10"/>
    <n v="11"/>
    <n v="2008"/>
    <n v="2011"/>
    <n v="2011.9166666666667"/>
    <n v="69.444444444444443"/>
    <n v="833.33333333333326"/>
    <n v="0"/>
    <n v="2500"/>
    <n v="2500"/>
    <n v="0"/>
    <x v="0"/>
  </r>
  <r>
    <n v="2149"/>
    <n v="316366"/>
    <n v="316365"/>
    <s v="Capitalized"/>
    <s v="Flatbed for 2005 Peterbilt 330 CD Truck"/>
    <m/>
    <m/>
    <n v="1"/>
    <s v="CD 06751"/>
    <n v="2005"/>
    <m/>
    <m/>
    <s v="TRUCKS AND TRAILERS"/>
    <s v="TBA"/>
    <s v="Non-Rolling Stock"/>
    <m/>
    <m/>
    <d v="2004-07-20T00:00:00"/>
    <d v="2004-07-20T00:00:00"/>
    <n v="42150001"/>
    <n v="1000"/>
    <n v="14040"/>
    <n v="8595.5499999999993"/>
    <n v="14046"/>
    <n v="8595.5499999999993"/>
    <n v="0"/>
    <n v="0"/>
    <n v="51260"/>
    <n v="0"/>
    <s v="P"/>
    <n v="0"/>
    <s v="c-1"/>
    <s v=" "/>
    <s v="STL"/>
    <s v="YES"/>
    <s v="C-1"/>
    <s v="Delivery"/>
    <x v="11"/>
    <n v="7"/>
    <n v="2004"/>
    <n v="2014"/>
    <n v="2014.5833333333333"/>
    <n v="71.629583333333329"/>
    <n v="859.55499999999995"/>
    <n v="0"/>
    <n v="8595.5499999999993"/>
    <n v="8595.5499999999993"/>
    <n v="0"/>
    <x v="0"/>
  </r>
  <r>
    <n v="2149"/>
    <n v="316365"/>
    <s v="P"/>
    <s v="Capitalized"/>
    <s v="2005 Peterbilt 330 - Flat Bed Cont. Delivery Truck"/>
    <m/>
    <m/>
    <n v="1"/>
    <s v="2NPNHZ7X95M849858"/>
    <n v="2005"/>
    <s v="Peterbilt 330"/>
    <s v="Cascon"/>
    <s v="TRUCKS AND TRAILERS"/>
    <s v="TBA"/>
    <s v="Flatbed Truck"/>
    <m/>
    <m/>
    <d v="2004-06-01T00:00:00"/>
    <d v="2004-06-01T00:00:00"/>
    <n v="42150001"/>
    <n v="1000"/>
    <n v="14040"/>
    <n v="58641.25"/>
    <n v="14046"/>
    <n v="58641.25"/>
    <n v="0"/>
    <n v="0"/>
    <n v="51260"/>
    <n v="0"/>
    <s v="P"/>
    <n v="0"/>
    <s v="c-1"/>
    <s v=" "/>
    <s v="STL"/>
    <s v="YES"/>
    <s v="C-1"/>
    <s v="Delivery"/>
    <x v="11"/>
    <n v="6"/>
    <n v="2004"/>
    <n v="2014"/>
    <n v="2014.5"/>
    <n v="488.67708333333331"/>
    <n v="5864.125"/>
    <n v="0"/>
    <n v="58641.25"/>
    <n v="58641.25"/>
    <n v="0"/>
    <x v="0"/>
  </r>
  <r>
    <n v="2149"/>
    <n v="315530"/>
    <s v="P"/>
    <s v="Capitalized"/>
    <s v="2023 Peterbilt ROL Truck"/>
    <m/>
    <m/>
    <n v="1"/>
    <s v="1NPCX4EX5PD867895"/>
    <n v="2023"/>
    <m/>
    <m/>
    <s v="TRUCKS AND TRAILERS"/>
    <s v="TBA"/>
    <s v="Roll Off"/>
    <m/>
    <m/>
    <d v="2023-10-12T00:00:00"/>
    <d v="2023-10-12T00:00:00"/>
    <s v="2149-23-0003-1"/>
    <n v="1000"/>
    <n v="14040"/>
    <n v="232903.37"/>
    <n v="14046"/>
    <n v="13586.03"/>
    <n v="219317.34"/>
    <n v="7763.44"/>
    <n v="51260"/>
    <n v="1940.86"/>
    <s v="P"/>
    <m/>
    <m/>
    <s v=" "/>
    <s v="STL"/>
    <s v="YES"/>
    <n v="0"/>
    <s v="Roll-off Truck"/>
    <x v="9"/>
    <n v="10"/>
    <n v="2023"/>
    <n v="2033"/>
    <n v="2033.8333333333333"/>
    <n v="1940.8614166666666"/>
    <n v="23290.337"/>
    <n v="23290.337"/>
    <n v="0"/>
    <n v="23290.337"/>
    <n v="209613.033"/>
    <x v="0"/>
  </r>
  <r>
    <n v="2149"/>
    <n v="313966"/>
    <n v="313965"/>
    <s v="Capitalized"/>
    <s v="HP USB-C G5 ESSENTIAL DOCK"/>
    <m/>
    <m/>
    <n v="1"/>
    <m/>
    <n v="0"/>
    <s v="CDW DIR #LN08038"/>
    <m/>
    <s v="HARDWARE AND SOFTWARE"/>
    <s v="TBA"/>
    <m/>
    <m/>
    <m/>
    <d v="2023-08-24T00:00:00"/>
    <d v="2023-08-24T00:00:00"/>
    <s v="2149-23-0014-1"/>
    <n v="300"/>
    <n v="14110"/>
    <n v="222.7"/>
    <n v="14116"/>
    <n v="49.51"/>
    <n v="173.19"/>
    <n v="24.76"/>
    <n v="70260"/>
    <n v="6.19"/>
    <s v="P"/>
    <m/>
    <m/>
    <s v=" "/>
    <s v="STL"/>
    <s v="YES"/>
    <n v="0"/>
    <s v="Office Equipment"/>
    <x v="12"/>
    <n v="8"/>
    <n v="2023"/>
    <n v="2026"/>
    <n v="2026.6666666666667"/>
    <n v="6.1861111111111109"/>
    <n v="74.233333333333334"/>
    <n v="74.233333333333334"/>
    <n v="0"/>
    <n v="74.233333333333334"/>
    <n v="148.46666666666664"/>
    <x v="0"/>
  </r>
  <r>
    <n v="2149"/>
    <n v="313965"/>
    <s v="P"/>
    <s v="Capitalized"/>
    <s v="HP PROBOOK 450 G9 15.6"/>
    <m/>
    <m/>
    <n v="1"/>
    <m/>
    <n v="0"/>
    <s v="CDW DIR #LN08038"/>
    <m/>
    <s v="HARDWARE AND SOFTWARE"/>
    <s v="TBA"/>
    <m/>
    <m/>
    <m/>
    <d v="2023-08-24T00:00:00"/>
    <d v="2023-08-24T00:00:00"/>
    <s v="2149-23-0014-1"/>
    <n v="300"/>
    <n v="14110"/>
    <n v="1074.77"/>
    <n v="14116"/>
    <n v="238.82"/>
    <n v="835.95"/>
    <n v="119.4"/>
    <n v="70260"/>
    <n v="29.85"/>
    <s v="P"/>
    <m/>
    <m/>
    <s v=" "/>
    <s v="STL"/>
    <s v="YES"/>
    <n v="0"/>
    <s v="Office Equipment"/>
    <x v="12"/>
    <n v="8"/>
    <n v="2023"/>
    <n v="2026"/>
    <n v="2026.6666666666667"/>
    <n v="29.854722222222222"/>
    <n v="358.25666666666666"/>
    <n v="358.25666666666666"/>
    <n v="0"/>
    <n v="358.25666666666666"/>
    <n v="716.51333333333332"/>
    <x v="0"/>
  </r>
  <r>
    <n v="2149"/>
    <n v="312925"/>
    <s v="P"/>
    <s v="Capitalized"/>
    <s v="2yd REL Metal Containers"/>
    <m/>
    <m/>
    <n v="20"/>
    <m/>
    <n v="0"/>
    <s v="5801 THIRD AVENUE SOUTH"/>
    <m/>
    <s v="CONTAINERS"/>
    <s v="TBA"/>
    <m/>
    <s v="2 YD"/>
    <s v="FEL/REL/SL Metal"/>
    <d v="2023-07-20T00:00:00"/>
    <d v="2023-07-20T00:00:00"/>
    <s v="2149-23-0013-1"/>
    <n v="1200"/>
    <n v="14050"/>
    <n v="17900"/>
    <n v="14056"/>
    <n v="1118.77"/>
    <n v="16781.23"/>
    <n v="497.24"/>
    <n v="54260"/>
    <n v="124.31"/>
    <s v="P"/>
    <m/>
    <m/>
    <s v=" "/>
    <s v="STL"/>
    <s v="YES"/>
    <n v="0"/>
    <s v="Containers"/>
    <x v="8"/>
    <n v="7"/>
    <n v="2023"/>
    <n v="2035"/>
    <n v="2035.5833333333333"/>
    <n v="124.30555555555556"/>
    <n v="1491.6666666666667"/>
    <n v="1491.6666666666667"/>
    <n v="0"/>
    <n v="1491.6666666666667"/>
    <n v="16408.333333333332"/>
    <x v="0"/>
  </r>
  <r>
    <n v="2149"/>
    <n v="310499"/>
    <s v="P"/>
    <s v="Capitalized"/>
    <s v="48 Gal MSW Carts - Plastic"/>
    <m/>
    <m/>
    <n v="200"/>
    <m/>
    <n v="0"/>
    <s v="C/O WASTEQUIP LLC"/>
    <m/>
    <s v="CONTAINERS"/>
    <s v="TBA"/>
    <m/>
    <m/>
    <m/>
    <d v="2023-07-11T00:00:00"/>
    <d v="2023-07-11T00:00:00"/>
    <s v="2149-23-0011-1"/>
    <n v="700"/>
    <n v="14050"/>
    <n v="13333.3"/>
    <n v="14056"/>
    <n v="1587.3"/>
    <n v="11746"/>
    <n v="634.91999999999996"/>
    <n v="54260"/>
    <n v="158.72999999999999"/>
    <s v="P"/>
    <m/>
    <m/>
    <s v=" "/>
    <s v="STL"/>
    <s v="YES"/>
    <n v="0"/>
    <s v="Shared Garbage Carts"/>
    <x v="2"/>
    <n v="7"/>
    <n v="2023"/>
    <n v="2030"/>
    <n v="2030.5833333333333"/>
    <n v="158.72976190476189"/>
    <n v="1904.7571428571428"/>
    <n v="1904.7571428571428"/>
    <n v="0"/>
    <n v="1904.7571428571428"/>
    <n v="11428.542857142857"/>
    <x v="0"/>
  </r>
  <r>
    <n v="2149"/>
    <n v="310031"/>
    <s v="P"/>
    <s v="Capitalized"/>
    <s v="95 Gal Recycle Carts"/>
    <m/>
    <m/>
    <n v="324"/>
    <m/>
    <n v="0"/>
    <m/>
    <m/>
    <s v="CONTAINERS"/>
    <s v="TBA"/>
    <m/>
    <m/>
    <m/>
    <d v="2023-06-26T00:00:00"/>
    <d v="2023-06-26T00:00:00"/>
    <s v="2149-23-0012-1"/>
    <n v="700"/>
    <n v="14050"/>
    <n v="20473.509999999998"/>
    <n v="14056"/>
    <n v="2437.31"/>
    <n v="18036.199999999997"/>
    <n v="974.92"/>
    <n v="54260"/>
    <n v="243.73"/>
    <s v="P"/>
    <m/>
    <m/>
    <s v=" "/>
    <s v="STL"/>
    <s v="YES"/>
    <n v="0"/>
    <s v="Shared Recycle Carts"/>
    <x v="1"/>
    <n v="6"/>
    <n v="2023"/>
    <n v="2030"/>
    <n v="2030.5"/>
    <n v="243.73226190476188"/>
    <n v="2924.7871428571425"/>
    <n v="2924.7871428571425"/>
    <n v="0"/>
    <n v="2924.7871428571425"/>
    <n v="17548.722857142857"/>
    <x v="0"/>
  </r>
  <r>
    <n v="2149"/>
    <n v="309757"/>
    <n v="205264"/>
    <s v="Capitalized"/>
    <s v="Truck5 Container Delivery Engine"/>
    <m/>
    <m/>
    <n v="1"/>
    <m/>
    <n v="0"/>
    <s v="Pape Kenworth"/>
    <m/>
    <s v="TRUCKS AND TRAILERS"/>
    <s v="TBA"/>
    <s v="Non-Rolling Stock"/>
    <m/>
    <m/>
    <d v="2023-05-31T00:00:00"/>
    <d v="2023-05-31T00:00:00"/>
    <s v="2149-23-0008-1"/>
    <n v="300"/>
    <n v="14040"/>
    <n v="14468.48"/>
    <n v="14046"/>
    <n v="4420.92"/>
    <n v="10047.56"/>
    <n v="1607.6"/>
    <n v="51260"/>
    <n v="401.9"/>
    <s v="P"/>
    <m/>
    <m/>
    <s v=" "/>
    <s v="STL"/>
    <s v="YES"/>
    <n v="5"/>
    <s v="Delivery"/>
    <x v="11"/>
    <n v="5"/>
    <n v="2023"/>
    <n v="2026"/>
    <n v="2026.4166666666667"/>
    <n v="401.90222222222224"/>
    <n v="4822.8266666666668"/>
    <n v="4822.8266666666668"/>
    <n v="0"/>
    <n v="4822.8266666666668"/>
    <n v="9645.6533333333318"/>
    <x v="0"/>
  </r>
  <r>
    <n v="2149"/>
    <n v="309754"/>
    <n v="71160"/>
    <s v="Capitalized"/>
    <s v="Truck 37 Engine Transmission Replacement"/>
    <m/>
    <m/>
    <n v="1"/>
    <m/>
    <n v="0"/>
    <s v="PAPE KENWORTH NW"/>
    <m/>
    <s v="TRUCKS AND TRAILERS"/>
    <s v="TBA"/>
    <s v="Non-Rolling Stock"/>
    <m/>
    <m/>
    <d v="2023-05-16T00:00:00"/>
    <d v="2023-05-16T00:00:00"/>
    <s v="2149-23-0009-1"/>
    <n v="300"/>
    <n v="14040"/>
    <n v="63526"/>
    <n v="14046"/>
    <n v="19410.72"/>
    <n v="44115.28"/>
    <n v="7058.44"/>
    <n v="51260"/>
    <n v="1764.61"/>
    <s v="P"/>
    <m/>
    <m/>
    <s v=" "/>
    <s v="STL"/>
    <s v="YES"/>
    <n v="37"/>
    <s v="Roll-off Truck"/>
    <x v="9"/>
    <n v="5"/>
    <n v="2023"/>
    <n v="2026"/>
    <n v="2026.4166666666667"/>
    <n v="1764.6111111111111"/>
    <n v="21175.333333333332"/>
    <n v="21175.333333333332"/>
    <n v="0"/>
    <n v="21175.333333333332"/>
    <n v="42350.666666666672"/>
    <x v="0"/>
  </r>
  <r>
    <n v="2149"/>
    <n v="309705"/>
    <n v="205264"/>
    <s v="Capitalized"/>
    <s v="Capital Repair: Container Delivery Engine"/>
    <m/>
    <m/>
    <n v="1"/>
    <m/>
    <n v="0"/>
    <s v="Pape Kenworth"/>
    <m/>
    <s v="TRUCKS AND TRAILERS"/>
    <s v="TBA"/>
    <s v="Non-Rolling Stock"/>
    <m/>
    <m/>
    <d v="2023-05-31T00:00:00"/>
    <d v="2023-05-31T00:00:00"/>
    <s v="2149-23-0008-1"/>
    <n v="300"/>
    <n v="14040"/>
    <n v="-3255"/>
    <n v="14046"/>
    <n v="-994.6"/>
    <n v="-2260.4"/>
    <n v="-361.68"/>
    <n v="51260"/>
    <n v="-90.42"/>
    <s v="P"/>
    <m/>
    <m/>
    <s v=" "/>
    <s v="STL"/>
    <s v="YES"/>
    <n v="5"/>
    <s v="Delivery"/>
    <x v="11"/>
    <n v="5"/>
    <n v="2023"/>
    <n v="2026"/>
    <n v="2026.4166666666667"/>
    <n v="-90.416666666666671"/>
    <n v="-1085"/>
    <n v="-1085"/>
    <n v="0"/>
    <n v="-1085"/>
    <n v="-2170"/>
    <x v="0"/>
  </r>
  <r>
    <n v="2149"/>
    <n v="309351"/>
    <s v="P"/>
    <s v="Capitalized"/>
    <s v="95 Gal MSW Carts"/>
    <m/>
    <m/>
    <n v="208"/>
    <m/>
    <n v="0"/>
    <s v="FILE 2524"/>
    <m/>
    <s v="CONTAINERS"/>
    <s v="TBA"/>
    <m/>
    <m/>
    <m/>
    <d v="2023-06-26T00:00:00"/>
    <d v="2023-06-26T00:00:00"/>
    <s v="2149-23-0012-1"/>
    <n v="700"/>
    <n v="14050"/>
    <n v="13143.47"/>
    <n v="14056"/>
    <n v="1564.7"/>
    <n v="11578.769999999999"/>
    <n v="625.88"/>
    <n v="54260"/>
    <n v="156.47"/>
    <s v="P"/>
    <m/>
    <m/>
    <s v=" "/>
    <s v="STL"/>
    <s v="YES"/>
    <n v="0"/>
    <s v="(A)"/>
    <x v="1"/>
    <n v="6"/>
    <n v="2023"/>
    <n v="2030"/>
    <n v="2030.5"/>
    <n v="156.46988095238095"/>
    <n v="1877.6385714285714"/>
    <n v="1877.6385714285714"/>
    <n v="0"/>
    <n v="1877.6385714285714"/>
    <n v="11265.831428571428"/>
    <x v="0"/>
  </r>
  <r>
    <n v="2149"/>
    <n v="309350"/>
    <s v="P"/>
    <s v="Capitalized"/>
    <s v="65 Gal MSW Carts"/>
    <m/>
    <m/>
    <n v="208"/>
    <m/>
    <n v="0"/>
    <s v="FILE 2524"/>
    <m/>
    <s v="CONTAINERS"/>
    <s v="TBA"/>
    <m/>
    <m/>
    <m/>
    <d v="2023-06-26T00:00:00"/>
    <d v="2023-06-26T00:00:00"/>
    <s v="2149-23-0012-1"/>
    <n v="700"/>
    <n v="14050"/>
    <n v="11837.23"/>
    <n v="14056"/>
    <n v="1409.2"/>
    <n v="10428.029999999999"/>
    <n v="563.67999999999995"/>
    <n v="54260"/>
    <n v="140.91999999999999"/>
    <s v="P"/>
    <m/>
    <m/>
    <s v=" "/>
    <s v="STL"/>
    <s v="YES"/>
    <n v="0"/>
    <s v="Shared Garbage Carts"/>
    <x v="2"/>
    <n v="6"/>
    <n v="2023"/>
    <n v="2030"/>
    <n v="2030.5"/>
    <n v="140.91940476190476"/>
    <n v="1691.0328571428572"/>
    <n v="1691.0328571428572"/>
    <n v="0"/>
    <n v="1691.0328571428572"/>
    <n v="10146.197142857141"/>
    <x v="0"/>
  </r>
  <r>
    <n v="2149"/>
    <n v="308419"/>
    <s v="P"/>
    <s v="Capitalized"/>
    <s v="Road Tractor"/>
    <m/>
    <m/>
    <n v="1"/>
    <s v="2XPFDB9X64M813974"/>
    <n v="2004"/>
    <s v="Peterbilt 378"/>
    <s v="N/A"/>
    <s v="TRUCKS AND TRAILERS"/>
    <s v="TBA"/>
    <s v="Road Tractor"/>
    <m/>
    <m/>
    <d v="2006-06-26T00:00:00"/>
    <d v="2006-06-26T00:00:00"/>
    <s v="06-2113-035"/>
    <n v="700"/>
    <n v="14040"/>
    <n v="99553.75"/>
    <n v="14046"/>
    <n v="99553.75"/>
    <n v="0"/>
    <n v="0"/>
    <n v="51260"/>
    <n v="0"/>
    <s v="P"/>
    <m/>
    <n v="154"/>
    <s v=" "/>
    <s v="STL"/>
    <s v="YES"/>
    <n v="154"/>
    <s v="TF Truck"/>
    <x v="3"/>
    <n v="6"/>
    <n v="2006"/>
    <n v="2013"/>
    <n v="2013.5"/>
    <n v="1185.1636904761906"/>
    <n v="14221.964285714286"/>
    <n v="0"/>
    <n v="99553.75"/>
    <n v="99553.75"/>
    <n v="0"/>
    <x v="0"/>
  </r>
  <r>
    <n v="2149"/>
    <n v="308195"/>
    <s v="P"/>
    <s v="Capitalized"/>
    <s v="20 yd Drop Box (U)"/>
    <m/>
    <m/>
    <n v="3"/>
    <m/>
    <n v="0"/>
    <m/>
    <m/>
    <s v="CONTAINERS"/>
    <s v="TBA"/>
    <m/>
    <s v="20 YD"/>
    <s v="RO Box"/>
    <d v="1989-07-01T00:00:00"/>
    <d v="1989-07-01T00:00:00"/>
    <m/>
    <n v="1200"/>
    <n v="14050"/>
    <n v="3000"/>
    <n v="14056"/>
    <n v="3000"/>
    <n v="0"/>
    <n v="0"/>
    <n v="54260"/>
    <n v="0"/>
    <s v="A"/>
    <s v="DM Recycling"/>
    <s v="NA"/>
    <s v=" "/>
    <s v="STL"/>
    <s v="YES"/>
    <n v="0"/>
    <s v="Drop Box"/>
    <x v="7"/>
    <n v="7"/>
    <n v="1989"/>
    <n v="2001"/>
    <n v="2001.5833333333333"/>
    <n v="20.833333333333332"/>
    <n v="250"/>
    <n v="0"/>
    <n v="3000"/>
    <n v="3000"/>
    <n v="0"/>
    <x v="0"/>
  </r>
  <r>
    <n v="2149"/>
    <n v="308096"/>
    <s v="P"/>
    <s v="Capitalized"/>
    <s v="20YD Containers"/>
    <m/>
    <m/>
    <n v="88"/>
    <m/>
    <n v="0"/>
    <m/>
    <m/>
    <s v="CONTAINERS"/>
    <s v="TBA"/>
    <m/>
    <s v="20 YD"/>
    <s v="RO Box"/>
    <d v="2008-11-03T00:00:00"/>
    <d v="2008-11-03T00:00:00"/>
    <m/>
    <n v="700"/>
    <n v="14050"/>
    <n v="3889.08"/>
    <n v="14056"/>
    <n v="3889.08"/>
    <n v="0"/>
    <n v="0"/>
    <n v="54260"/>
    <n v="0"/>
    <s v="A"/>
    <s v="LeMay Enterprises"/>
    <s v="NA"/>
    <s v=" "/>
    <s v="STL"/>
    <s v="YES"/>
    <n v="0"/>
    <s v="Drop Box"/>
    <x v="7"/>
    <n v="11"/>
    <n v="2008"/>
    <n v="2015"/>
    <n v="2015.9166666666667"/>
    <n v="46.298571428571428"/>
    <n v="555.58285714285716"/>
    <n v="0"/>
    <n v="3889.08"/>
    <n v="3889.08"/>
    <n v="0"/>
    <x v="0"/>
  </r>
  <r>
    <n v="2149"/>
    <n v="308078"/>
    <s v="P"/>
    <s v="Capitalized"/>
    <s v="22 ft Storage Units"/>
    <m/>
    <m/>
    <n v="8"/>
    <m/>
    <n v="0"/>
    <m/>
    <m/>
    <s v="CONTAINERS"/>
    <s v="TBA"/>
    <m/>
    <s v="22 YD"/>
    <s v="Storage Container"/>
    <d v="1988-02-19T00:00:00"/>
    <d v="1988-02-19T00:00:00"/>
    <m/>
    <n v="1500"/>
    <n v="14050"/>
    <n v="8509.5"/>
    <n v="14056"/>
    <n v="8509.5"/>
    <n v="0"/>
    <n v="0"/>
    <n v="54260"/>
    <n v="0"/>
    <s v="A"/>
    <s v="American Portable Storage"/>
    <s v="NA"/>
    <s v=" "/>
    <s v="STL"/>
    <s v="YES"/>
    <n v="0"/>
    <s v="Containers"/>
    <x v="8"/>
    <n v="2"/>
    <n v="1988"/>
    <n v="2003"/>
    <n v="2003.1666666666667"/>
    <n v="47.274999999999999"/>
    <n v="567.29999999999995"/>
    <n v="0"/>
    <n v="8509.5"/>
    <n v="8509.5"/>
    <n v="0"/>
    <x v="0"/>
  </r>
  <r>
    <n v="2149"/>
    <n v="307812"/>
    <s v="P"/>
    <s v="Capitalized"/>
    <s v="2 Yard Commercial Container"/>
    <m/>
    <m/>
    <n v="4"/>
    <m/>
    <n v="0"/>
    <s v="REHRIG PACIFIC COMPANY"/>
    <m/>
    <s v="CONTAINERS"/>
    <s v="TBA"/>
    <m/>
    <s v="2 YD"/>
    <s v="FEL/REL/SL Metal"/>
    <d v="2014-05-02T00:00:00"/>
    <d v="2014-05-02T00:00:00"/>
    <s v="2180-14-0019-1"/>
    <n v="1200"/>
    <n v="14050"/>
    <n v="2018.84"/>
    <n v="14056"/>
    <n v="1682.37"/>
    <n v="336.47"/>
    <n v="56.08"/>
    <n v="54260"/>
    <n v="14.02"/>
    <s v="P"/>
    <m/>
    <m/>
    <s v=" "/>
    <s v="STL"/>
    <s v="YES"/>
    <n v="0"/>
    <s v="Containers"/>
    <x v="8"/>
    <n v="5"/>
    <n v="2014"/>
    <n v="2026"/>
    <n v="2026.4166666666667"/>
    <n v="14.019722222222221"/>
    <n v="168.23666666666665"/>
    <n v="168.23666666666665"/>
    <n v="1486.0905555555428"/>
    <n v="1654.3272222222095"/>
    <n v="364.51277777779046"/>
    <x v="0"/>
  </r>
  <r>
    <n v="2149"/>
    <n v="307800"/>
    <s v="P"/>
    <s v="Capitalized"/>
    <s v="2 Yard Slant Top - LeMay Blue"/>
    <m/>
    <m/>
    <n v="15"/>
    <m/>
    <n v="0"/>
    <s v="WASTEQUIP"/>
    <m/>
    <s v="CONTAINERS"/>
    <s v="TBA"/>
    <m/>
    <s v="2 YD"/>
    <s v="FEL/REL/SL Metal"/>
    <d v="2012-08-07T00:00:00"/>
    <d v="2012-08-07T00:00:00"/>
    <s v="2180-12-0009-1"/>
    <n v="1200"/>
    <n v="14050"/>
    <n v="1018.88"/>
    <n v="14056"/>
    <n v="997.67"/>
    <n v="21.210000000000036"/>
    <n v="28.32"/>
    <n v="54260"/>
    <n v="7.08"/>
    <s v="P"/>
    <m/>
    <m/>
    <s v=" "/>
    <s v="STL"/>
    <s v="YES"/>
    <n v="0"/>
    <s v="Containers"/>
    <x v="8"/>
    <n v="8"/>
    <n v="2012"/>
    <n v="2024"/>
    <n v="2024.6666666666667"/>
    <n v="7.0755555555555558"/>
    <n v="84.906666666666666"/>
    <n v="84.906666666666666"/>
    <n v="898.59555555554914"/>
    <n v="983.50222222221578"/>
    <n v="35.377777777784218"/>
    <x v="0"/>
  </r>
  <r>
    <n v="2149"/>
    <n v="307597"/>
    <s v="P"/>
    <s v="Capitalized"/>
    <s v="2 Yard Commercial  Containers (plastic)"/>
    <m/>
    <m/>
    <n v="25"/>
    <m/>
    <n v="0"/>
    <s v="REHRIG PACIFIC COMPANY-LA"/>
    <m/>
    <s v="CONTAINERS"/>
    <s v="TBA"/>
    <m/>
    <s v="2 YD"/>
    <s v="FEL/REL/SL Plastic"/>
    <d v="2010-06-17T00:00:00"/>
    <d v="2010-06-17T00:00:00"/>
    <s v="2180-10-0015-1"/>
    <n v="700"/>
    <n v="14050"/>
    <n v="1096.6400000000001"/>
    <n v="14056"/>
    <n v="1096.6400000000001"/>
    <n v="0"/>
    <n v="0"/>
    <n v="54260"/>
    <n v="0"/>
    <s v="P"/>
    <m/>
    <m/>
    <s v=" "/>
    <s v="STL"/>
    <s v="YES"/>
    <n v="0"/>
    <s v="Containers"/>
    <x v="8"/>
    <n v="6"/>
    <n v="2010"/>
    <n v="2017"/>
    <n v="2017.5"/>
    <n v="13.055238095238096"/>
    <n v="156.66285714285715"/>
    <n v="0"/>
    <n v="1096.6400000000001"/>
    <n v="1096.6400000000001"/>
    <n v="0"/>
    <x v="0"/>
  </r>
  <r>
    <n v="2149"/>
    <n v="306816"/>
    <s v="P"/>
    <s v="Capitalized"/>
    <s v="2 Yard REL Containers"/>
    <m/>
    <m/>
    <n v="13"/>
    <m/>
    <n v="0"/>
    <s v="RULE STEEL TANKS INC"/>
    <m/>
    <s v="CONTAINERS"/>
    <s v="TBA"/>
    <m/>
    <s v="2 YD"/>
    <s v="FEL/REL/SL Metal"/>
    <d v="2010-06-03T00:00:00"/>
    <d v="2010-06-03T00:00:00"/>
    <s v="2181-10-0011-1"/>
    <n v="1200"/>
    <n v="14050"/>
    <n v="6771.14"/>
    <n v="14056"/>
    <n v="6771.14"/>
    <n v="0"/>
    <n v="0"/>
    <n v="54260"/>
    <n v="0"/>
    <s v="P"/>
    <m/>
    <m/>
    <s v=" "/>
    <s v="STL"/>
    <s v="YES"/>
    <n v="0"/>
    <s v="Containers"/>
    <x v="8"/>
    <n v="6"/>
    <n v="2010"/>
    <n v="2022"/>
    <n v="2022.5"/>
    <n v="47.021805555555552"/>
    <n v="564.26166666666666"/>
    <n v="0"/>
    <n v="6771.14"/>
    <n v="6771.14"/>
    <n v="0"/>
    <x v="0"/>
  </r>
  <r>
    <n v="2149"/>
    <n v="306815"/>
    <s v="P"/>
    <s v="Capitalized"/>
    <s v="2 Yard REL Containers"/>
    <m/>
    <m/>
    <n v="45"/>
    <m/>
    <n v="0"/>
    <s v="CAPITAL INDUSTRIES, INC."/>
    <m/>
    <s v="CONTAINERS"/>
    <s v="TBA"/>
    <m/>
    <s v="2 YD"/>
    <s v="FEL/REL/SL Metal"/>
    <d v="2011-10-31T00:00:00"/>
    <d v="2011-10-31T00:00:00"/>
    <s v="2181-11-0025-1"/>
    <n v="1200"/>
    <n v="14050"/>
    <n v="23953.1"/>
    <n v="14056"/>
    <n v="23953.1"/>
    <n v="0"/>
    <n v="0"/>
    <n v="54260"/>
    <n v="0"/>
    <s v="P"/>
    <m/>
    <m/>
    <s v=" "/>
    <s v="STL"/>
    <s v="YES"/>
    <n v="0"/>
    <s v="Containers"/>
    <x v="8"/>
    <n v="10"/>
    <n v="2011"/>
    <n v="2023"/>
    <n v="2023.8333333333333"/>
    <n v="166.34097222222221"/>
    <n v="1996.0916666666665"/>
    <n v="0"/>
    <n v="22788.713194444594"/>
    <n v="23953.1"/>
    <n v="0"/>
    <x v="0"/>
  </r>
  <r>
    <n v="2149"/>
    <n v="306814"/>
    <s v="P"/>
    <s v="Capitalized"/>
    <s v="15 Yard R/O Containers"/>
    <m/>
    <m/>
    <n v="2"/>
    <m/>
    <n v="0"/>
    <m/>
    <m/>
    <s v="CONTAINERS"/>
    <s v="TBA"/>
    <m/>
    <s v="15 YD"/>
    <s v="RO Box"/>
    <d v="2008-11-03T00:00:00"/>
    <d v="2008-11-03T00:00:00"/>
    <m/>
    <n v="700"/>
    <n v="14050"/>
    <n v="18500"/>
    <n v="14056"/>
    <n v="18500"/>
    <n v="0"/>
    <n v="0"/>
    <n v="54260"/>
    <n v="0"/>
    <s v="A"/>
    <s v="LeMay Enterprises"/>
    <s v="NA"/>
    <s v=" "/>
    <s v="STL"/>
    <s v="YES"/>
    <n v="0"/>
    <s v="Containers"/>
    <x v="7"/>
    <n v="11"/>
    <n v="2008"/>
    <n v="2015"/>
    <n v="2015.9166666666667"/>
    <n v="220.23809523809521"/>
    <n v="2642.8571428571427"/>
    <n v="0"/>
    <n v="18500"/>
    <n v="18500"/>
    <n v="0"/>
    <x v="0"/>
  </r>
  <r>
    <n v="2149"/>
    <n v="306813"/>
    <s v="P"/>
    <s v="Capitalized"/>
    <s v="20yd"/>
    <m/>
    <m/>
    <n v="3"/>
    <n v="0"/>
    <n v="0"/>
    <s v="CAPITAL INDUSTRIES, INC."/>
    <m/>
    <s v="CONTAINERS"/>
    <s v="TBA"/>
    <m/>
    <s v="20 YD"/>
    <s v="RO Box"/>
    <d v="2006-10-19T00:00:00"/>
    <d v="2006-10-19T00:00:00"/>
    <s v="06-2111-009"/>
    <n v="1200"/>
    <n v="14050"/>
    <n v="15079.68"/>
    <n v="14056"/>
    <n v="15079.68"/>
    <n v="0"/>
    <n v="0"/>
    <n v="54260"/>
    <n v="0"/>
    <s v="P"/>
    <m/>
    <m/>
    <s v=" "/>
    <s v="STL"/>
    <s v="YES"/>
    <n v="0"/>
    <s v="Drop Box"/>
    <x v="7"/>
    <n v="10"/>
    <n v="2006"/>
    <n v="2018"/>
    <n v="2018.8333333333333"/>
    <n v="104.72000000000001"/>
    <n v="1256.6400000000001"/>
    <n v="0"/>
    <n v="15079.68"/>
    <n v="15079.68"/>
    <n v="0"/>
    <x v="0"/>
  </r>
  <r>
    <n v="2149"/>
    <n v="305969"/>
    <s v="P"/>
    <s v="Capitalized"/>
    <s v="96 Gallon Plastic Carts"/>
    <m/>
    <m/>
    <n v="702"/>
    <m/>
    <n v="0"/>
    <s v="FILE 2524"/>
    <m/>
    <s v="CONTAINERS"/>
    <s v="TBA"/>
    <m/>
    <m/>
    <m/>
    <d v="2023-05-23T00:00:00"/>
    <d v="2023-05-23T00:00:00"/>
    <s v="2149-23-0010-1"/>
    <n v="700"/>
    <n v="14050"/>
    <n v="44321.58"/>
    <n v="14056"/>
    <n v="5804.03"/>
    <n v="38517.550000000003"/>
    <n v="2110.56"/>
    <n v="54260"/>
    <n v="527.64"/>
    <s v="P"/>
    <m/>
    <m/>
    <s v=" "/>
    <s v="STL"/>
    <s v="YES"/>
    <n v="0"/>
    <s v="(A)"/>
    <x v="1"/>
    <n v="5"/>
    <n v="2023"/>
    <n v="2030"/>
    <n v="2030.4166666666667"/>
    <n v="527.63785714285711"/>
    <n v="6331.6542857142849"/>
    <n v="6331.6542857142849"/>
    <n v="0"/>
    <n v="6331.6542857142849"/>
    <n v="37989.925714285717"/>
    <x v="0"/>
  </r>
  <r>
    <n v="2149"/>
    <n v="305401"/>
    <s v="P"/>
    <s v="Capitalized"/>
    <s v="2yd REL Containers"/>
    <m/>
    <m/>
    <n v="15"/>
    <m/>
    <n v="0"/>
    <s v="PO BOX 80983"/>
    <m/>
    <s v="CONTAINERS"/>
    <s v="TBA"/>
    <m/>
    <s v="2 YD"/>
    <s v="FEL/REL/SL Metal"/>
    <d v="2023-03-27T00:00:00"/>
    <d v="2023-03-27T00:00:00"/>
    <s v="2149-23-0006-1"/>
    <n v="1200"/>
    <n v="14050"/>
    <n v="12750"/>
    <n v="14056"/>
    <n v="1151.04"/>
    <n v="11598.96"/>
    <n v="354.16"/>
    <n v="54260"/>
    <n v="88.54"/>
    <s v="P"/>
    <m/>
    <m/>
    <s v=" "/>
    <s v="STL"/>
    <s v="YES"/>
    <n v="0"/>
    <s v="Containers"/>
    <x v="8"/>
    <n v="3"/>
    <n v="2023"/>
    <n v="2035"/>
    <n v="2035.25"/>
    <n v="88.541666666666671"/>
    <n v="1062.5"/>
    <n v="1062.5"/>
    <n v="0"/>
    <n v="1062.5"/>
    <n v="11687.5"/>
    <x v="0"/>
  </r>
  <r>
    <n v="2149"/>
    <n v="305306"/>
    <s v="P"/>
    <s v="Capitalized"/>
    <s v="20yd Open Top RO Box"/>
    <m/>
    <m/>
    <n v="3"/>
    <m/>
    <n v="0"/>
    <s v="PO BOX 80983"/>
    <m/>
    <s v="CONTAINERS"/>
    <s v="TBA"/>
    <m/>
    <s v="20 YD"/>
    <s v="RO Box"/>
    <d v="2023-05-05T00:00:00"/>
    <d v="2023-05-05T00:00:00"/>
    <s v="2149-23-0006-1"/>
    <n v="1200"/>
    <n v="14050"/>
    <n v="19350"/>
    <n v="14056"/>
    <n v="1612.52"/>
    <n v="17737.48"/>
    <n v="537.52"/>
    <n v="54260"/>
    <n v="134.38"/>
    <s v="P"/>
    <m/>
    <m/>
    <s v=" "/>
    <s v="STL"/>
    <s v="YES"/>
    <n v="0"/>
    <s v="Drop Box"/>
    <x v="7"/>
    <n v="5"/>
    <n v="2023"/>
    <n v="2035"/>
    <n v="2035.4166666666667"/>
    <n v="134.375"/>
    <n v="1612.5"/>
    <n v="1612.5"/>
    <n v="0"/>
    <n v="1612.5"/>
    <n v="17737.5"/>
    <x v="0"/>
  </r>
  <r>
    <n v="2149"/>
    <n v="305305"/>
    <s v="P"/>
    <s v="Capitalized"/>
    <s v="20yd Open Top RO Box"/>
    <m/>
    <m/>
    <n v="3"/>
    <m/>
    <n v="0"/>
    <s v="PO BOX 80983"/>
    <m/>
    <s v="CONTAINERS"/>
    <s v="TBA"/>
    <m/>
    <s v="20 YD"/>
    <s v="RO Box"/>
    <d v="2023-05-08T00:00:00"/>
    <d v="2023-05-08T00:00:00"/>
    <s v="2149-23-0006-1"/>
    <n v="1200"/>
    <n v="14050"/>
    <n v="19350"/>
    <n v="14056"/>
    <n v="1612.52"/>
    <n v="17737.48"/>
    <n v="537.52"/>
    <n v="54260"/>
    <n v="134.38"/>
    <s v="P"/>
    <m/>
    <m/>
    <s v=" "/>
    <s v="STL"/>
    <s v="YES"/>
    <n v="0"/>
    <s v="Drop Box"/>
    <x v="7"/>
    <n v="5"/>
    <n v="2023"/>
    <n v="2035"/>
    <n v="2035.4166666666667"/>
    <n v="134.375"/>
    <n v="1612.5"/>
    <n v="1612.5"/>
    <n v="0"/>
    <n v="1612.5"/>
    <n v="17737.5"/>
    <x v="0"/>
  </r>
  <r>
    <n v="2149"/>
    <n v="305304"/>
    <s v="P"/>
    <s v="Capitalized"/>
    <s v="2YD REL Containers"/>
    <m/>
    <m/>
    <n v="15"/>
    <m/>
    <n v="0"/>
    <s v="PO BOX 80983"/>
    <m/>
    <s v="CONTAINERS"/>
    <s v="TBA"/>
    <m/>
    <s v="2 YD"/>
    <s v="FEL/REL/SL Metal"/>
    <d v="2023-03-30T00:00:00"/>
    <d v="2023-03-30T00:00:00"/>
    <s v="2149-23-0006-1"/>
    <n v="1200"/>
    <n v="14050"/>
    <n v="12750"/>
    <n v="14056"/>
    <n v="1151.04"/>
    <n v="11598.96"/>
    <n v="354.16"/>
    <n v="54260"/>
    <n v="88.54"/>
    <s v="P"/>
    <m/>
    <m/>
    <s v=" "/>
    <s v="STL"/>
    <s v="YES"/>
    <n v="0"/>
    <s v="Containers"/>
    <x v="8"/>
    <n v="3"/>
    <n v="2023"/>
    <n v="2035"/>
    <n v="2035.25"/>
    <n v="88.541666666666671"/>
    <n v="1062.5"/>
    <n v="1062.5"/>
    <n v="0"/>
    <n v="1062.5"/>
    <n v="11687.5"/>
    <x v="0"/>
  </r>
  <r>
    <n v="2149"/>
    <n v="302425"/>
    <s v="P"/>
    <s v="Capitalized"/>
    <s v="2006 Peterbilt Hooklift Truck"/>
    <m/>
    <m/>
    <n v="1"/>
    <s v="2NPLHD6X16M631099"/>
    <n v="2006"/>
    <s v="Peterbilt 335"/>
    <s v="Container Delivery Truck"/>
    <s v="TRUCKS AND TRAILERS"/>
    <s v="TBA"/>
    <s v="Container Delivery Truck"/>
    <m/>
    <m/>
    <d v="2010-07-16T00:00:00"/>
    <d v="2010-07-16T00:00:00"/>
    <s v="2160-10-0004-1"/>
    <n v="500"/>
    <n v="14040"/>
    <n v="46580"/>
    <n v="14046"/>
    <n v="46580"/>
    <n v="0"/>
    <n v="0"/>
    <n v="51260"/>
    <n v="0"/>
    <s v="P"/>
    <m/>
    <n v="132"/>
    <s v=" "/>
    <s v="STL"/>
    <s v="YES"/>
    <n v="0"/>
    <s v="Old"/>
    <x v="13"/>
    <n v="7"/>
    <n v="2010"/>
    <n v="2015"/>
    <n v="2015.5833333333333"/>
    <n v="776.33333333333337"/>
    <n v="9316"/>
    <n v="0"/>
    <n v="46580"/>
    <n v="46580"/>
    <n v="0"/>
    <x v="0"/>
  </r>
  <r>
    <n v="2149"/>
    <n v="300992"/>
    <s v="P"/>
    <s v="Capitalized"/>
    <s v="20 YD RO Boxes"/>
    <m/>
    <m/>
    <n v="2"/>
    <m/>
    <n v="0"/>
    <s v="WASTEQUIP LLC"/>
    <m/>
    <s v="CONTAINERS"/>
    <s v="TBA"/>
    <m/>
    <s v="20 YD"/>
    <s v="RO Box"/>
    <d v="2023-01-02T00:00:00"/>
    <d v="2023-01-02T00:00:00"/>
    <s v="2149-23-0007-1"/>
    <n v="1200"/>
    <n v="14050"/>
    <n v="10744.39"/>
    <n v="14056"/>
    <n v="1193.81"/>
    <n v="9550.58"/>
    <n v="298.44"/>
    <n v="54260"/>
    <n v="74.61"/>
    <s v="P"/>
    <m/>
    <m/>
    <s v=" "/>
    <s v="STL"/>
    <s v="YES"/>
    <n v="0"/>
    <s v="Drop Box"/>
    <x v="7"/>
    <n v="1"/>
    <n v="2023"/>
    <n v="2035"/>
    <n v="2035.0833333333333"/>
    <n v="74.613819444444445"/>
    <n v="895.36583333333328"/>
    <n v="895.36583333333328"/>
    <n v="149.22763888895679"/>
    <n v="1044.5934722222901"/>
    <n v="9699.7965277777093"/>
    <x v="0"/>
  </r>
  <r>
    <n v="2149"/>
    <n v="298660"/>
    <n v="117318"/>
    <s v="Capitalized"/>
    <s v="REL Transmission - Cooler Lines"/>
    <m/>
    <m/>
    <n v="1"/>
    <m/>
    <n v="0"/>
    <s v="Freightliner Northwest"/>
    <m/>
    <s v="TRUCKS AND TRAILERS"/>
    <s v="TBA"/>
    <s v="Non-Rolling Stock"/>
    <m/>
    <m/>
    <d v="2023-01-02T00:00:00"/>
    <d v="2023-01-02T00:00:00"/>
    <s v="2149-22-0021-1"/>
    <n v="300"/>
    <n v="14040"/>
    <n v="1867.33"/>
    <n v="14046"/>
    <n v="829.92"/>
    <n v="1037.4099999999999"/>
    <n v="207.48"/>
    <n v="51260"/>
    <n v="51.87"/>
    <s v="P"/>
    <m/>
    <m/>
    <s v=" "/>
    <s v="STL"/>
    <s v="YES"/>
    <n v="30"/>
    <s v="REL Comm MSW Truck"/>
    <x v="14"/>
    <n v="1"/>
    <n v="2023"/>
    <n v="2026"/>
    <n v="2026.0833333333333"/>
    <n v="51.870277777777773"/>
    <n v="622.44333333333327"/>
    <n v="622.44333333333327"/>
    <n v="103.7405555556029"/>
    <n v="726.18388888893617"/>
    <n v="1141.1461111110639"/>
    <x v="0"/>
  </r>
  <r>
    <n v="2149"/>
    <n v="298089"/>
    <s v="P"/>
    <s v="Capitalized"/>
    <s v="2YD REL Containers"/>
    <m/>
    <m/>
    <n v="20"/>
    <m/>
    <n v="0"/>
    <s v="WASTEQUIP LLC"/>
    <m/>
    <s v="CONTAINERS"/>
    <s v="TBA"/>
    <m/>
    <s v="2 YD"/>
    <s v="FEL/REL/SL Metal"/>
    <d v="2023-01-02T00:00:00"/>
    <d v="2023-01-02T00:00:00"/>
    <s v="2149-22-0011-1"/>
    <n v="1200"/>
    <n v="14050"/>
    <n v="16207.3"/>
    <n v="14056"/>
    <n v="1800.81"/>
    <n v="14406.49"/>
    <n v="450.2"/>
    <n v="54260"/>
    <n v="112.55"/>
    <s v="P"/>
    <m/>
    <m/>
    <s v=" "/>
    <s v="STL"/>
    <s v="YES"/>
    <n v="0"/>
    <s v="Containers"/>
    <x v="8"/>
    <n v="1"/>
    <n v="2023"/>
    <n v="2035"/>
    <n v="2035.0833333333333"/>
    <n v="112.55069444444445"/>
    <n v="1350.6083333333333"/>
    <n v="1350.6083333333333"/>
    <n v="225.10138888899019"/>
    <n v="1575.7097222223235"/>
    <n v="14631.590277777676"/>
    <x v="0"/>
  </r>
  <r>
    <n v="2149"/>
    <n v="298081"/>
    <s v="P"/>
    <s v="Capitalized"/>
    <s v="1.5YD REL Containers"/>
    <m/>
    <m/>
    <n v="4"/>
    <m/>
    <n v="0"/>
    <s v="WASTEQUIP LLC"/>
    <m/>
    <s v="CONTAINERS"/>
    <s v="TBA"/>
    <m/>
    <s v="1.5 YD"/>
    <s v="FEL/REL/SL Metal"/>
    <d v="2023-01-02T00:00:00"/>
    <d v="2023-01-02T00:00:00"/>
    <s v="2149-22-0011-1"/>
    <n v="1200"/>
    <n v="14050"/>
    <n v="3542.7"/>
    <n v="14056"/>
    <n v="393.63"/>
    <n v="3149.0699999999997"/>
    <n v="98.4"/>
    <n v="54260"/>
    <n v="24.6"/>
    <s v="P"/>
    <m/>
    <m/>
    <s v=" "/>
    <s v="STL"/>
    <s v="YES"/>
    <n v="0"/>
    <s v="Containers"/>
    <x v="8"/>
    <n v="1"/>
    <n v="2023"/>
    <n v="2035"/>
    <n v="2035.0833333333333"/>
    <n v="24.602083333333329"/>
    <n v="295.22499999999997"/>
    <n v="295.22499999999997"/>
    <n v="49.204166666689616"/>
    <n v="344.42916666668958"/>
    <n v="3198.2708333333103"/>
    <x v="0"/>
  </r>
  <r>
    <n v="2149"/>
    <n v="297387"/>
    <n v="117318"/>
    <s v="Capitalized"/>
    <s v="REL Transmission Repair"/>
    <m/>
    <m/>
    <n v="1"/>
    <m/>
    <n v="0"/>
    <s v="US Transmissions, Inc."/>
    <m/>
    <s v="TRUCKS AND TRAILERS"/>
    <s v="TBA"/>
    <s v="Non-Rolling Stock"/>
    <m/>
    <m/>
    <d v="2022-12-15T00:00:00"/>
    <d v="2022-12-15T00:00:00"/>
    <s v="2149-22-0021-1"/>
    <n v="300"/>
    <n v="14040"/>
    <n v="10674.51"/>
    <n v="14046"/>
    <n v="5040.7299999999996"/>
    <n v="5633.7800000000007"/>
    <n v="1186.04"/>
    <n v="51260"/>
    <n v="296.51"/>
    <s v="P"/>
    <m/>
    <m/>
    <s v=" "/>
    <s v="STL"/>
    <s v="YES"/>
    <n v="30"/>
    <s v="REL Comm MSW Truck"/>
    <x v="14"/>
    <n v="12"/>
    <n v="2022"/>
    <n v="2025"/>
    <n v="2026"/>
    <n v="296.51416666666665"/>
    <n v="3558.17"/>
    <n v="3558.17"/>
    <n v="889.54250000000138"/>
    <n v="4447.7125000000015"/>
    <n v="6226.7974999999988"/>
    <x v="0"/>
  </r>
  <r>
    <n v="2149"/>
    <n v="294144"/>
    <s v="P"/>
    <s v="Capitalized"/>
    <s v="300 gal Plastic Totes"/>
    <m/>
    <m/>
    <n v="20"/>
    <m/>
    <n v="0"/>
    <s v="TANK HOLDING CORP"/>
    <m/>
    <s v="CONTAINERS"/>
    <s v="TBA"/>
    <m/>
    <m/>
    <m/>
    <d v="2022-10-05T00:00:00"/>
    <d v="2022-10-05T00:00:00"/>
    <s v="2149-22-0019-1"/>
    <n v="700"/>
    <n v="14050"/>
    <n v="10999.75"/>
    <n v="14056"/>
    <n v="2488.04"/>
    <n v="8511.7099999999991"/>
    <n v="523.79999999999995"/>
    <n v="54260"/>
    <n v="130.94999999999999"/>
    <s v="P"/>
    <m/>
    <m/>
    <s v=" "/>
    <s v="STL"/>
    <s v="YES"/>
    <n v="0"/>
    <s v="Shelton - Garbage Carts"/>
    <x v="15"/>
    <n v="10"/>
    <n v="2022"/>
    <n v="2029"/>
    <n v="2029.8333333333333"/>
    <n v="130.94940476190476"/>
    <n v="1571.3928571428571"/>
    <n v="1571.3928571428571"/>
    <n v="654.747023809643"/>
    <n v="2226.1398809524999"/>
    <n v="8773.6101190475001"/>
    <x v="0"/>
  </r>
  <r>
    <n v="2149"/>
    <n v="293980"/>
    <n v="27371"/>
    <s v="Capitalized"/>
    <s v="Capital Repair: Engine"/>
    <m/>
    <m/>
    <n v="1"/>
    <m/>
    <n v="0"/>
    <m/>
    <m/>
    <s v="TRUCKS AND TRAILERS"/>
    <s v="TBA"/>
    <s v="Non-Rolling Stock"/>
    <m/>
    <m/>
    <d v="2022-11-09T00:00:00"/>
    <d v="2022-11-09T00:00:00"/>
    <s v="2149-22-0020-1"/>
    <n v="300"/>
    <n v="14040"/>
    <n v="19043.23"/>
    <n v="14046"/>
    <n v="9521.6200000000008"/>
    <n v="9521.6099999999988"/>
    <n v="2115.92"/>
    <n v="51260"/>
    <n v="528.98"/>
    <s v="P"/>
    <m/>
    <m/>
    <s v=" "/>
    <s v="STL"/>
    <s v="YES"/>
    <n v="4"/>
    <s v="Delivery"/>
    <x v="11"/>
    <n v="11"/>
    <n v="2022"/>
    <n v="2025"/>
    <n v="2025.9166666666667"/>
    <n v="528.97861111111104"/>
    <n v="6347.743333333332"/>
    <n v="6347.743333333332"/>
    <n v="2115.9144444439662"/>
    <n v="8463.6577777772982"/>
    <n v="10579.572222222701"/>
    <x v="0"/>
  </r>
  <r>
    <n v="2149"/>
    <n v="293642"/>
    <n v="286702"/>
    <s v="Capitalized"/>
    <s v="Peterbilt 520/Labrie 28Yd (WUTC)-Licensing"/>
    <m/>
    <m/>
    <n v="1"/>
    <m/>
    <n v="0"/>
    <m/>
    <m/>
    <s v="TRUCKS AND TRAILERS"/>
    <s v="TBA"/>
    <s v="Non-Rolling Stock"/>
    <m/>
    <m/>
    <d v="2022-10-31T00:00:00"/>
    <d v="2022-10-31T00:00:00"/>
    <s v="2149-22-0003-1"/>
    <n v="1000"/>
    <n v="14040"/>
    <n v="1337.5"/>
    <n v="14046"/>
    <n v="200.64"/>
    <n v="1136.8600000000001"/>
    <n v="44.6"/>
    <n v="51260"/>
    <n v="11.15"/>
    <s v="P"/>
    <m/>
    <m/>
    <s v=" "/>
    <s v="STL"/>
    <s v="YES"/>
    <n v="44"/>
    <s v="Curbside Recycling - Reg Truck"/>
    <x v="5"/>
    <n v="10"/>
    <n v="2022"/>
    <n v="2032"/>
    <n v="2032.8333333333333"/>
    <n v="11.145833333333334"/>
    <n v="133.75"/>
    <n v="133.75"/>
    <n v="55.729166666676747"/>
    <n v="189.47916666667675"/>
    <n v="1148.0208333333233"/>
    <x v="0"/>
  </r>
  <r>
    <n v="2149"/>
    <n v="292826"/>
    <s v="P"/>
    <s v="Capitalized"/>
    <s v="48g Carts"/>
    <m/>
    <m/>
    <n v="210"/>
    <m/>
    <n v="0"/>
    <s v="WASTEQUIP LLC"/>
    <m/>
    <s v="CONTAINERS"/>
    <s v="TBA"/>
    <m/>
    <m/>
    <m/>
    <d v="2022-07-30T00:00:00"/>
    <d v="2022-07-30T00:00:00"/>
    <s v="2149-22-0018-1"/>
    <n v="700"/>
    <n v="14050"/>
    <n v="15883.05"/>
    <n v="14056"/>
    <n v="3970.75"/>
    <n v="11912.3"/>
    <n v="756.32"/>
    <n v="54260"/>
    <n v="189.08"/>
    <s v="P"/>
    <m/>
    <m/>
    <s v=" "/>
    <s v="STL"/>
    <s v="YES"/>
    <n v="0"/>
    <s v="Shared Garbage Carts"/>
    <x v="2"/>
    <n v="7"/>
    <n v="2022"/>
    <n v="2029"/>
    <n v="2029.5833333333333"/>
    <n v="189.08392857142857"/>
    <n v="2269.0071428571428"/>
    <n v="2269.0071428571428"/>
    <n v="1512.6714285715989"/>
    <n v="3781.6785714287416"/>
    <n v="12101.371428571258"/>
    <x v="0"/>
  </r>
  <r>
    <n v="2149"/>
    <n v="290913"/>
    <s v="P"/>
    <s v="Capitalized"/>
    <s v="3rd Eye Drivecam Installation TO 2149"/>
    <m/>
    <m/>
    <n v="10"/>
    <m/>
    <n v="0"/>
    <s v="VELOCITI INC"/>
    <m/>
    <s v="SHOP EQUIPMENT"/>
    <s v="TBA"/>
    <m/>
    <m/>
    <m/>
    <d v="2022-05-26T00:00:00"/>
    <d v="2022-05-26T00:00:00"/>
    <s v="1010-22-0041-1"/>
    <n v="500"/>
    <n v="14070"/>
    <n v="8921.6"/>
    <n v="14076"/>
    <n v="3419.93"/>
    <n v="5501.67"/>
    <n v="594.76"/>
    <n v="51260"/>
    <n v="148.69"/>
    <s v="P"/>
    <m/>
    <m/>
    <s v=" "/>
    <s v="STL"/>
    <s v="YES"/>
    <n v="0"/>
    <s v="Shop Equipment"/>
    <x v="4"/>
    <n v="5"/>
    <n v="2022"/>
    <n v="2027"/>
    <n v="2027.4166666666667"/>
    <n v="148.69333333333336"/>
    <n v="1784.3200000000002"/>
    <n v="1784.3200000000002"/>
    <n v="1486.933333333197"/>
    <n v="3271.2533333331971"/>
    <n v="5650.3466666668028"/>
    <x v="0"/>
  </r>
  <r>
    <n v="2149"/>
    <n v="289469"/>
    <n v="284456"/>
    <s v="Capitalized"/>
    <s v="Truck 51 Licensing"/>
    <m/>
    <m/>
    <n v="1"/>
    <m/>
    <n v="0"/>
    <s v="WA DOL LIC &amp; REG 71589"/>
    <m/>
    <s v="TRUCKS AND TRAILERS"/>
    <s v="TBA"/>
    <s v="Non-Rolling Stock"/>
    <m/>
    <m/>
    <d v="2022-09-09T00:00:00"/>
    <d v="2022-09-09T00:00:00"/>
    <s v="2149-22-0004-1"/>
    <n v="1000"/>
    <n v="14040"/>
    <n v="865.2"/>
    <n v="14046"/>
    <n v="144.19999999999999"/>
    <n v="721"/>
    <n v="28.84"/>
    <n v="51260"/>
    <n v="7.21"/>
    <s v="P"/>
    <m/>
    <m/>
    <s v=" "/>
    <s v="STL"/>
    <s v="YES"/>
    <n v="51"/>
    <s v="Roll-off Truck"/>
    <x v="9"/>
    <n v="9"/>
    <n v="2022"/>
    <n v="2032"/>
    <n v="2032.75"/>
    <n v="7.2100000000000009"/>
    <n v="86.52000000000001"/>
    <n v="86.52000000000001"/>
    <n v="43.259999999999991"/>
    <n v="129.78"/>
    <n v="735.42000000000007"/>
    <x v="0"/>
  </r>
  <r>
    <n v="2149"/>
    <n v="287066"/>
    <n v="282980"/>
    <s v="Capitalized"/>
    <s v="Licensing for 2022 Peterbilt ASL Truck"/>
    <m/>
    <m/>
    <n v="1"/>
    <m/>
    <n v="0"/>
    <s v="WA DOL MASON COUNTY LICEN"/>
    <m/>
    <s v="TRUCKS AND TRAILERS"/>
    <s v="TBA"/>
    <s v="Non-Rolling Stock"/>
    <m/>
    <m/>
    <d v="2022-07-28T00:00:00"/>
    <d v="2022-07-28T00:00:00"/>
    <s v="2149-22-0002-1"/>
    <n v="1000"/>
    <n v="14040"/>
    <n v="590.19000000000005"/>
    <n v="14046"/>
    <n v="103.29"/>
    <n v="486.90000000000003"/>
    <n v="19.68"/>
    <n v="51260"/>
    <n v="4.92"/>
    <s v="P"/>
    <m/>
    <m/>
    <s v=" "/>
    <s v="STL"/>
    <s v="YES"/>
    <n v="43"/>
    <s v="Trks Shelton"/>
    <x v="16"/>
    <n v="7"/>
    <n v="2022"/>
    <n v="2032"/>
    <n v="2032.5833333333333"/>
    <n v="4.9182500000000005"/>
    <n v="59.019000000000005"/>
    <n v="59.019000000000005"/>
    <n v="39.346000000004437"/>
    <n v="98.365000000004443"/>
    <n v="491.82499999999561"/>
    <x v="0"/>
  </r>
  <r>
    <n v="2149"/>
    <n v="286703"/>
    <n v="284456"/>
    <s v="Capitalized"/>
    <s v="2023 Peterbilt ROL Truck- Body"/>
    <m/>
    <m/>
    <n v="1"/>
    <s v="1NPCX4EX2PD839276"/>
    <n v="2023"/>
    <m/>
    <m/>
    <s v="TRUCKS AND TRAILERS"/>
    <s v="TBA"/>
    <s v="Non-Rolling Stock"/>
    <m/>
    <m/>
    <d v="2022-06-30T00:00:00"/>
    <d v="2022-06-30T00:00:00"/>
    <s v="2149-22-0004-1"/>
    <n v="1000"/>
    <n v="14040"/>
    <n v="83913.9"/>
    <n v="14046"/>
    <n v="15384.2"/>
    <n v="68529.7"/>
    <n v="2797.12"/>
    <n v="51260"/>
    <n v="699.28"/>
    <s v="P"/>
    <m/>
    <m/>
    <s v=" "/>
    <s v="STL"/>
    <s v="YES"/>
    <n v="51"/>
    <s v="Roll-off Truck"/>
    <x v="9"/>
    <n v="6"/>
    <n v="2022"/>
    <n v="2032"/>
    <n v="2032.5"/>
    <n v="699.28249999999991"/>
    <n v="8391.39"/>
    <n v="8391.39"/>
    <n v="6293.5425000000105"/>
    <n v="14684.93250000001"/>
    <n v="69228.967499999984"/>
    <x v="0"/>
  </r>
  <r>
    <n v="2149"/>
    <n v="286702"/>
    <s v="P"/>
    <s v="Capitalized"/>
    <s v="2023 Peterbilt ASL Truck"/>
    <m/>
    <m/>
    <n v="1"/>
    <s v="3BPDLK0X6PF114128"/>
    <n v="2023"/>
    <s v="Peterbilt"/>
    <s v="Labrie"/>
    <s v="TRUCKS AND TRAILERS"/>
    <s v="TBA"/>
    <s v="Automated Side Loader"/>
    <m/>
    <m/>
    <d v="2022-08-31T00:00:00"/>
    <d v="2022-08-31T00:00:00"/>
    <s v="2149-22-0003-1"/>
    <n v="1000"/>
    <n v="14040"/>
    <n v="392634.19"/>
    <n v="14046"/>
    <n v="65439.03"/>
    <n v="327195.16000000003"/>
    <n v="13087.8"/>
    <n v="51260"/>
    <n v="3271.95"/>
    <s v="P"/>
    <m/>
    <n v="44"/>
    <s v=" "/>
    <s v="STL"/>
    <s v="YES"/>
    <n v="44"/>
    <s v="Curbside Recycling - Reg Truck"/>
    <x v="5"/>
    <n v="8"/>
    <n v="2022"/>
    <n v="2032"/>
    <n v="2032.6666666666667"/>
    <n v="3271.9515833333335"/>
    <n v="39263.419000000002"/>
    <n v="39263.419000000002"/>
    <n v="22903.661083330342"/>
    <n v="62167.080083330344"/>
    <n v="330467.10991666967"/>
    <x v="0"/>
  </r>
  <r>
    <n v="2149"/>
    <n v="285622"/>
    <s v="P"/>
    <s v="Capitalized"/>
    <s v="HP ProBook 630 G8 SN: 5CD2159V3X"/>
    <m/>
    <m/>
    <n v="1"/>
    <m/>
    <n v="0"/>
    <s v="CDW DIR #PO  2149-22-0"/>
    <m/>
    <s v="HARDWARE AND SOFTWARE"/>
    <s v="TBA"/>
    <m/>
    <m/>
    <m/>
    <d v="2022-07-12T00:00:00"/>
    <d v="2022-07-12T00:00:00"/>
    <s v="2149-22-0016-1"/>
    <n v="300"/>
    <n v="14110"/>
    <n v="1459.77"/>
    <n v="14116"/>
    <n v="892.09"/>
    <n v="567.67999999999995"/>
    <n v="162.19999999999999"/>
    <n v="70260"/>
    <n v="40.549999999999997"/>
    <s v="P"/>
    <m/>
    <m/>
    <s v=" "/>
    <s v="STL"/>
    <s v="YES"/>
    <n v="0"/>
    <s v="Office Equipment"/>
    <x v="12"/>
    <n v="7"/>
    <n v="2022"/>
    <n v="2025"/>
    <n v="2025.5833333333333"/>
    <n v="40.549166666666665"/>
    <n v="486.59"/>
    <n v="486.59"/>
    <n v="324.39333333337026"/>
    <n v="810.98333333337018"/>
    <n v="648.7866666666298"/>
    <x v="0"/>
  </r>
  <r>
    <n v="2149"/>
    <n v="285621"/>
    <s v="P"/>
    <s v="Capitalized"/>
    <s v="Docking Station for new computer - no SN on Amazon Purchases"/>
    <m/>
    <m/>
    <n v="1"/>
    <m/>
    <n v="0"/>
    <s v="AMZN MKTP US 4Y04C47G3 AM"/>
    <m/>
    <s v="HARDWARE AND SOFTWARE"/>
    <s v="TBA"/>
    <m/>
    <m/>
    <m/>
    <d v="2022-07-12T00:00:00"/>
    <d v="2022-07-12T00:00:00"/>
    <s v="2149-22-0016-1"/>
    <n v="300"/>
    <n v="14110"/>
    <n v="306.3"/>
    <n v="14116"/>
    <n v="187.19"/>
    <n v="119.11000000000001"/>
    <n v="34.04"/>
    <n v="70260"/>
    <n v="8.51"/>
    <s v="P"/>
    <m/>
    <m/>
    <s v=" "/>
    <s v="STL"/>
    <s v="YES"/>
    <n v="0"/>
    <s v="Office Equipment"/>
    <x v="12"/>
    <n v="7"/>
    <n v="2022"/>
    <n v="2025"/>
    <n v="2025.5833333333333"/>
    <n v="8.5083333333333346"/>
    <n v="102.10000000000002"/>
    <n v="102.10000000000002"/>
    <n v="68.066666666674394"/>
    <n v="170.16666666667442"/>
    <n v="136.1333333333256"/>
    <x v="0"/>
  </r>
  <r>
    <n v="2149"/>
    <n v="285620"/>
    <s v="P"/>
    <s v="Capitalized"/>
    <s v="HP ProBook 630 G8 SN: 5CD2159V2Q"/>
    <m/>
    <m/>
    <n v="1"/>
    <m/>
    <n v="0"/>
    <s v="CDW DIR #PO  2149-22-0"/>
    <m/>
    <s v="HARDWARE AND SOFTWARE"/>
    <s v="TBA"/>
    <m/>
    <m/>
    <m/>
    <d v="2022-07-12T00:00:00"/>
    <d v="2022-07-12T00:00:00"/>
    <s v="2149-22-0015-1"/>
    <n v="300"/>
    <n v="14110"/>
    <n v="1459.77"/>
    <n v="14116"/>
    <n v="892.09"/>
    <n v="567.67999999999995"/>
    <n v="162.19999999999999"/>
    <n v="70260"/>
    <n v="40.549999999999997"/>
    <s v="P"/>
    <m/>
    <m/>
    <s v=" "/>
    <s v="STL"/>
    <s v="YES"/>
    <n v="0"/>
    <s v="Office Equipment"/>
    <x v="12"/>
    <n v="7"/>
    <n v="2022"/>
    <n v="2025"/>
    <n v="2025.5833333333333"/>
    <n v="40.549166666666665"/>
    <n v="486.59"/>
    <n v="486.59"/>
    <n v="324.39333333337026"/>
    <n v="810.98333333337018"/>
    <n v="648.7866666666298"/>
    <x v="0"/>
  </r>
  <r>
    <n v="2149"/>
    <n v="285619"/>
    <s v="P"/>
    <s v="Capitalized"/>
    <s v="Docking Station for Laptop - No SN on Amazon Purchases"/>
    <m/>
    <m/>
    <n v="1"/>
    <m/>
    <n v="0"/>
    <s v="AMZN MKTP US 9J3RD6DQ3"/>
    <m/>
    <s v="HARDWARE AND SOFTWARE"/>
    <s v="TBA"/>
    <m/>
    <m/>
    <m/>
    <d v="2022-07-12T00:00:00"/>
    <d v="2022-07-12T00:00:00"/>
    <s v="2149-22-0015-1"/>
    <n v="300"/>
    <n v="14110"/>
    <n v="306.3"/>
    <n v="14116"/>
    <n v="187.19"/>
    <n v="119.11000000000001"/>
    <n v="34.04"/>
    <n v="70260"/>
    <n v="8.51"/>
    <s v="P"/>
    <m/>
    <m/>
    <s v=" "/>
    <s v="STL"/>
    <s v="YES"/>
    <n v="0"/>
    <s v="Office Equipment"/>
    <x v="12"/>
    <n v="7"/>
    <n v="2022"/>
    <n v="2025"/>
    <n v="2025.5833333333333"/>
    <n v="8.5083333333333346"/>
    <n v="102.10000000000002"/>
    <n v="102.10000000000002"/>
    <n v="68.066666666674394"/>
    <n v="170.16666666667442"/>
    <n v="136.1333333333256"/>
    <x v="0"/>
  </r>
  <r>
    <n v="2149"/>
    <n v="285618"/>
    <s v="P"/>
    <s v="Capitalized"/>
    <s v="HP ProBook 630 G8 SN: 5CD2159V2X"/>
    <m/>
    <m/>
    <n v="1"/>
    <m/>
    <n v="0"/>
    <s v="CDW DIR #PO  2149-22-0"/>
    <m/>
    <s v="HARDWARE AND SOFTWARE"/>
    <s v="TBA"/>
    <m/>
    <m/>
    <m/>
    <d v="2022-07-12T00:00:00"/>
    <d v="2022-07-12T00:00:00"/>
    <s v="2149-22-0014-1"/>
    <n v="300"/>
    <n v="14110"/>
    <n v="1459.77"/>
    <n v="14116"/>
    <n v="892.09"/>
    <n v="567.67999999999995"/>
    <n v="162.19999999999999"/>
    <n v="70260"/>
    <n v="40.549999999999997"/>
    <s v="P"/>
    <m/>
    <m/>
    <s v=" "/>
    <s v="STL"/>
    <s v="YES"/>
    <n v="0"/>
    <s v="Shop Equipment"/>
    <x v="4"/>
    <n v="7"/>
    <n v="2022"/>
    <n v="2025"/>
    <n v="2025.5833333333333"/>
    <n v="40.549166666666665"/>
    <n v="486.59"/>
    <n v="486.59"/>
    <n v="324.39333333337026"/>
    <n v="810.98333333337018"/>
    <n v="648.7866666666298"/>
    <x v="0"/>
  </r>
  <r>
    <n v="2149"/>
    <n v="285617"/>
    <s v="P"/>
    <s v="Capitalized"/>
    <s v="New Docking Station for Laptop - No SN on Amazon Purchases"/>
    <m/>
    <m/>
    <n v="1"/>
    <m/>
    <n v="0"/>
    <s v="AMZN MKTP US XT09X77G3 AM"/>
    <m/>
    <s v="HARDWARE AND SOFTWARE"/>
    <s v="TBA"/>
    <m/>
    <m/>
    <m/>
    <d v="2022-07-12T00:00:00"/>
    <d v="2022-07-12T00:00:00"/>
    <s v="2149-22-0014-1"/>
    <n v="300"/>
    <n v="14110"/>
    <n v="306.3"/>
    <n v="14116"/>
    <n v="187.19"/>
    <n v="119.11000000000001"/>
    <n v="34.04"/>
    <n v="70260"/>
    <n v="8.51"/>
    <s v="P"/>
    <m/>
    <m/>
    <s v=" "/>
    <s v="STL"/>
    <s v="YES"/>
    <n v="0"/>
    <s v="Shop Equipment"/>
    <x v="4"/>
    <n v="7"/>
    <n v="2022"/>
    <n v="2025"/>
    <n v="2025.5833333333333"/>
    <n v="8.5083333333333346"/>
    <n v="102.10000000000002"/>
    <n v="102.10000000000002"/>
    <n v="68.066666666674394"/>
    <n v="170.16666666667442"/>
    <n v="136.1333333333256"/>
    <x v="0"/>
  </r>
  <r>
    <n v="2149"/>
    <n v="285291"/>
    <s v="P"/>
    <s v="Capitalized"/>
    <s v="95 GAL MSW CARTS"/>
    <m/>
    <m/>
    <n v="480"/>
    <m/>
    <n v="0"/>
    <s v="REHRIG PACIFIC COMPANY IN"/>
    <m/>
    <s v="CONTAINERS"/>
    <s v="TBA"/>
    <m/>
    <m/>
    <m/>
    <d v="2022-07-21T00:00:00"/>
    <d v="2022-07-21T00:00:00"/>
    <s v="2149-22-0017-1"/>
    <n v="700"/>
    <n v="14050"/>
    <n v="31763.59"/>
    <n v="14056"/>
    <n v="7940.91"/>
    <n v="23822.68"/>
    <n v="1512.56"/>
    <n v="54260"/>
    <n v="378.14"/>
    <s v="P"/>
    <m/>
    <m/>
    <s v=" "/>
    <s v="STL"/>
    <s v="YES"/>
    <n v="0"/>
    <s v="Shared Garbage Carts"/>
    <x v="2"/>
    <n v="7"/>
    <n v="2022"/>
    <n v="2029"/>
    <n v="2029.5833333333333"/>
    <n v="378.13797619047619"/>
    <n v="4537.6557142857146"/>
    <n v="4537.6557142857146"/>
    <n v="3025.1038095241529"/>
    <n v="7562.7595238098675"/>
    <n v="24200.830476190131"/>
    <x v="0"/>
  </r>
  <r>
    <n v="2149"/>
    <n v="285290"/>
    <s v="P"/>
    <s v="Capitalized"/>
    <s v="65 GAL MSW CARTS"/>
    <m/>
    <m/>
    <n v="272"/>
    <m/>
    <n v="0"/>
    <s v="REHRIG PACIFIC COMPANY IN"/>
    <m/>
    <s v="CONTAINERS"/>
    <s v="TBA"/>
    <m/>
    <m/>
    <m/>
    <d v="2022-07-21T00:00:00"/>
    <d v="2022-07-21T00:00:00"/>
    <s v="2149-22-0017-1"/>
    <n v="700"/>
    <n v="14050"/>
    <n v="16240.45"/>
    <n v="14056"/>
    <n v="4060.12"/>
    <n v="12180.330000000002"/>
    <n v="773.36"/>
    <n v="54260"/>
    <n v="193.34"/>
    <s v="P"/>
    <m/>
    <m/>
    <s v=" "/>
    <s v="STL"/>
    <s v="YES"/>
    <n v="0"/>
    <s v="Shared Garbage Carts"/>
    <x v="2"/>
    <n v="7"/>
    <n v="2022"/>
    <n v="2029"/>
    <n v="2029.5833333333333"/>
    <n v="193.33869047619046"/>
    <n v="2320.0642857142857"/>
    <n v="2320.0642857142857"/>
    <n v="1546.7095238097008"/>
    <n v="3866.7738095239865"/>
    <n v="12373.676190476013"/>
    <x v="0"/>
  </r>
  <r>
    <n v="2149"/>
    <n v="285280"/>
    <s v="P"/>
    <s v="Capitalized"/>
    <s v="1.5YD REL Container"/>
    <m/>
    <m/>
    <n v="36"/>
    <m/>
    <n v="0"/>
    <s v="WASTEQUIP LLC"/>
    <m/>
    <s v="CONTAINERS"/>
    <s v="TBA"/>
    <m/>
    <s v="1.5 YD"/>
    <s v="FEL/REL/SL Metal"/>
    <d v="2022-07-01T00:00:00"/>
    <d v="2022-07-01T00:00:00"/>
    <s v="2149-22-0011-1"/>
    <n v="1200"/>
    <n v="14050"/>
    <n v="23112"/>
    <n v="14056"/>
    <n v="3531"/>
    <n v="19581"/>
    <n v="642"/>
    <n v="54260"/>
    <n v="160.5"/>
    <s v="P"/>
    <m/>
    <m/>
    <s v=" "/>
    <s v="STL"/>
    <s v="YES"/>
    <n v="0"/>
    <s v="Containers"/>
    <x v="8"/>
    <n v="7"/>
    <n v="2022"/>
    <n v="2034"/>
    <n v="2034.5833333333333"/>
    <n v="160.5"/>
    <n v="1926"/>
    <n v="1926"/>
    <n v="1284.0000000001455"/>
    <n v="3210.0000000001455"/>
    <n v="19901.999999999854"/>
    <x v="0"/>
  </r>
  <r>
    <n v="2149"/>
    <n v="284456"/>
    <s v="P"/>
    <s v="Capitalized"/>
    <s v="2023 Peterbilt ROL Truck Chassis"/>
    <m/>
    <m/>
    <n v="1"/>
    <s v="1NPCX4EX2PD839276"/>
    <n v="2023"/>
    <s v="Peterbilt"/>
    <s v="AA Welding"/>
    <s v="TRUCKS AND TRAILERS"/>
    <s v="TBA"/>
    <s v="Roll Off"/>
    <m/>
    <m/>
    <d v="2022-06-24T00:00:00"/>
    <d v="2022-06-24T00:00:00"/>
    <s v="2149-22-0004-1"/>
    <n v="1000"/>
    <n v="14040"/>
    <n v="207540.64"/>
    <n v="14046"/>
    <n v="38049.129999999997"/>
    <n v="169491.51"/>
    <n v="6918.04"/>
    <n v="51260"/>
    <n v="1729.51"/>
    <s v="P"/>
    <m/>
    <n v="51"/>
    <s v=" "/>
    <s v="STL"/>
    <s v="YES"/>
    <n v="51"/>
    <s v="Roll-off Truck"/>
    <x v="9"/>
    <n v="6"/>
    <n v="2022"/>
    <n v="2032"/>
    <n v="2032.5"/>
    <n v="1729.5053333333335"/>
    <n v="20754.064000000002"/>
    <n v="20754.064000000002"/>
    <n v="15565.547999999981"/>
    <n v="36319.611999999979"/>
    <n v="171221.02800000005"/>
    <x v="0"/>
  </r>
  <r>
    <n v="2149"/>
    <n v="284369"/>
    <s v="P"/>
    <s v="Capitalized"/>
    <s v="20 YD RO Boxes"/>
    <m/>
    <m/>
    <n v="2"/>
    <m/>
    <n v="0"/>
    <s v="WASTEQUIP LLC"/>
    <m/>
    <s v="CONTAINERS"/>
    <s v="TBA"/>
    <m/>
    <s v="20 YD"/>
    <s v="RO Box"/>
    <d v="2022-05-30T00:00:00"/>
    <d v="2022-05-30T00:00:00"/>
    <s v="2149-22-0012-1"/>
    <n v="1200"/>
    <n v="14050"/>
    <n v="12740.61"/>
    <n v="14056"/>
    <n v="2034.98"/>
    <n v="10705.630000000001"/>
    <n v="353.92"/>
    <n v="54260"/>
    <n v="88.48"/>
    <s v="P"/>
    <m/>
    <m/>
    <s v=" "/>
    <s v="STL"/>
    <s v="YES"/>
    <n v="0"/>
    <s v="Drop Box"/>
    <x v="7"/>
    <n v="5"/>
    <n v="2022"/>
    <n v="2034"/>
    <n v="2034.4166666666667"/>
    <n v="88.476458333333326"/>
    <n v="1061.7175"/>
    <n v="1061.7175"/>
    <n v="884.76458333325354"/>
    <n v="1946.4820833332535"/>
    <n v="10794.127916666746"/>
    <x v="0"/>
  </r>
  <r>
    <n v="2149"/>
    <n v="284178"/>
    <s v="P"/>
    <s v="Capitalized"/>
    <s v="New Laptop for OM SN: 5CD152BK6K"/>
    <m/>
    <m/>
    <n v="1"/>
    <m/>
    <n v="0"/>
    <s v="CDW DIR #PO  2149-22-0"/>
    <m/>
    <s v="HARDWARE AND SOFTWARE"/>
    <s v="TBA"/>
    <m/>
    <m/>
    <m/>
    <d v="2022-06-21T00:00:00"/>
    <d v="2022-06-21T00:00:00"/>
    <s v="2149-22-0013-1"/>
    <n v="300"/>
    <n v="14110"/>
    <n v="1245.58"/>
    <n v="14116"/>
    <n v="761.19"/>
    <n v="484.38999999999987"/>
    <n v="138.4"/>
    <n v="70260"/>
    <n v="34.6"/>
    <s v="P"/>
    <m/>
    <m/>
    <s v=" "/>
    <s v="STL"/>
    <s v="YES"/>
    <n v="0"/>
    <s v="Office Equipment"/>
    <x v="12"/>
    <n v="6"/>
    <n v="2022"/>
    <n v="2025"/>
    <n v="2025.5"/>
    <n v="34.599444444444444"/>
    <n v="415.19333333333333"/>
    <n v="415.19333333333333"/>
    <n v="311.39499999999998"/>
    <n v="726.58833333333337"/>
    <n v="518.99166666666656"/>
    <x v="0"/>
  </r>
  <r>
    <n v="2149"/>
    <n v="283491"/>
    <n v="284178"/>
    <s v="Capitalized"/>
    <s v="Docking Station for Laptop - No SN on Amazon Purchases"/>
    <m/>
    <m/>
    <n v="1"/>
    <m/>
    <n v="0"/>
    <s v="AMZN MKTP US WD8VE5R93 AM"/>
    <m/>
    <s v="HARDWARE AND SOFTWARE"/>
    <s v="TBA"/>
    <m/>
    <m/>
    <m/>
    <d v="2022-06-21T00:00:00"/>
    <d v="2022-06-21T00:00:00"/>
    <s v="2149-22-0013-1"/>
    <n v="300"/>
    <n v="14110"/>
    <n v="306.3"/>
    <n v="14116"/>
    <n v="187.19"/>
    <n v="119.11000000000001"/>
    <n v="34.04"/>
    <n v="70260"/>
    <n v="8.51"/>
    <s v="P"/>
    <m/>
    <m/>
    <s v=" "/>
    <s v="STL"/>
    <s v="YES"/>
    <n v="0"/>
    <s v="Office Equipment"/>
    <x v="12"/>
    <n v="6"/>
    <n v="2022"/>
    <n v="2025"/>
    <n v="2025.5"/>
    <n v="8.5083333333333346"/>
    <n v="102.10000000000002"/>
    <n v="102.10000000000002"/>
    <n v="76.574999999999989"/>
    <n v="178.67500000000001"/>
    <n v="127.625"/>
    <x v="0"/>
  </r>
  <r>
    <n v="2149"/>
    <n v="283320"/>
    <s v="P"/>
    <s v="Capitalized"/>
    <s v="2007 IHC Hooklift"/>
    <m/>
    <m/>
    <n v="1"/>
    <s v="1HTMLAFL07H471810"/>
    <n v="2007"/>
    <s v="International"/>
    <s v="Multilift"/>
    <s v="TRUCKS AND TRAILERS"/>
    <s v="TBA"/>
    <s v="Hooklift"/>
    <m/>
    <m/>
    <d v="2008-11-03T00:00:00"/>
    <d v="2008-11-03T00:00:00"/>
    <m/>
    <n v="800"/>
    <n v="14040"/>
    <n v="66500"/>
    <n v="14046"/>
    <n v="66500"/>
    <n v="0"/>
    <n v="0"/>
    <n v="51260"/>
    <n v="0"/>
    <s v="A"/>
    <s v="LeMay Enterprises"/>
    <n v="130"/>
    <s v=" "/>
    <s v="STL"/>
    <s v="YES"/>
    <n v="0"/>
    <s v="Old"/>
    <x v="13"/>
    <n v="11"/>
    <n v="2008"/>
    <n v="2016"/>
    <n v="2016.9166666666667"/>
    <n v="692.70833333333337"/>
    <n v="8312.5"/>
    <n v="0"/>
    <n v="66500"/>
    <n v="66500"/>
    <n v="0"/>
    <x v="0"/>
  </r>
  <r>
    <n v="2149"/>
    <n v="282980"/>
    <s v="P"/>
    <s v="Capitalized"/>
    <s v="2022 Peterbilt ASL Truck"/>
    <m/>
    <m/>
    <n v="1"/>
    <s v="3BPDLK0XXNF113156"/>
    <n v="2022"/>
    <s v="Peterbilt"/>
    <s v="Labrie"/>
    <s v="TRUCKS AND TRAILERS"/>
    <s v="TBA"/>
    <s v="Automated Side Loader"/>
    <m/>
    <m/>
    <d v="2022-06-08T00:00:00"/>
    <d v="2022-06-08T00:00:00"/>
    <s v="2149-22-0002-1"/>
    <n v="1000"/>
    <n v="14040"/>
    <n v="395146.81"/>
    <n v="14046"/>
    <n v="75736.47"/>
    <n v="319410.33999999997"/>
    <n v="13171.56"/>
    <n v="51260"/>
    <n v="3292.89"/>
    <s v="P"/>
    <m/>
    <n v="43"/>
    <s v=" "/>
    <s v="STL"/>
    <s v="YES"/>
    <n v="43"/>
    <s v="Shelton - Garbage Carts"/>
    <x v="15"/>
    <n v="6"/>
    <n v="2022"/>
    <n v="2032"/>
    <n v="2032.5"/>
    <n v="3292.8900833333332"/>
    <n v="39514.680999999997"/>
    <n v="39514.680999999997"/>
    <n v="29636.010750000016"/>
    <n v="69150.691750000013"/>
    <n v="325996.11825"/>
    <x v="0"/>
  </r>
  <r>
    <n v="2149"/>
    <n v="280499"/>
    <s v="P"/>
    <s v="Capitalized"/>
    <s v="2 YD FEL/REL/SL Metal"/>
    <m/>
    <m/>
    <n v="98"/>
    <m/>
    <n v="0"/>
    <m/>
    <s v="2022 Cont.Audit- Partial "/>
    <s v="CONTAINERS"/>
    <s v="TBA"/>
    <m/>
    <s v="2 YD"/>
    <s v="FEL/REL/SL Metal"/>
    <d v="2022-05-01T00:00:00"/>
    <d v="2022-05-01T00:00:00"/>
    <m/>
    <n v="0"/>
    <n v="14050"/>
    <n v="0"/>
    <n v="14056"/>
    <n v="0"/>
    <n v="0"/>
    <n v="0"/>
    <n v="54260"/>
    <n v="0"/>
    <s v="P"/>
    <m/>
    <m/>
    <s v=" "/>
    <s v="STL"/>
    <s v="NO"/>
    <n v="0"/>
    <s v="Containers"/>
    <x v="8"/>
    <n v="5"/>
    <n v="2022"/>
    <n v="2022"/>
    <n v="2022.4166666666667"/>
    <n v="0"/>
    <n v="0"/>
    <n v="0"/>
    <n v="0"/>
    <n v="0"/>
    <n v="0"/>
    <x v="0"/>
  </r>
  <r>
    <n v="2149"/>
    <n v="279901"/>
    <s v="P"/>
    <s v="Capitalized"/>
    <s v="40 Yard R/O Containers"/>
    <m/>
    <m/>
    <n v="2"/>
    <m/>
    <n v="0"/>
    <m/>
    <m/>
    <s v="CONTAINERS"/>
    <s v="TBA"/>
    <m/>
    <s v="40 YD"/>
    <s v="RO Box"/>
    <d v="2008-11-03T00:00:00"/>
    <d v="2008-11-03T00:00:00"/>
    <m/>
    <n v="700"/>
    <n v="14050"/>
    <n v="39000"/>
    <n v="14056"/>
    <n v="39000"/>
    <n v="0"/>
    <n v="0"/>
    <n v="54260"/>
    <n v="0"/>
    <s v="A"/>
    <s v="LeMay Enterprises"/>
    <s v="NA"/>
    <s v=" "/>
    <s v="STL"/>
    <s v="YES"/>
    <n v="0"/>
    <s v="Drop Box"/>
    <x v="7"/>
    <n v="11"/>
    <n v="2008"/>
    <n v="2015"/>
    <n v="2015.9166666666667"/>
    <n v="464.28571428571428"/>
    <n v="5571.4285714285716"/>
    <n v="0"/>
    <n v="39000"/>
    <n v="39000"/>
    <n v="0"/>
    <x v="0"/>
  </r>
  <r>
    <n v="2149"/>
    <n v="279857"/>
    <s v="P"/>
    <s v="Capitalized"/>
    <s v="20 Yard R/O Containers"/>
    <m/>
    <m/>
    <n v="7"/>
    <m/>
    <n v="0"/>
    <m/>
    <m/>
    <s v="CONTAINERS"/>
    <s v="TBA"/>
    <m/>
    <s v="20 YD"/>
    <s v="RO Box"/>
    <d v="2008-11-03T00:00:00"/>
    <d v="2008-11-03T00:00:00"/>
    <m/>
    <n v="700"/>
    <n v="14050"/>
    <n v="9347.6200000000008"/>
    <n v="14056"/>
    <n v="9347.6200000000008"/>
    <n v="0"/>
    <n v="0"/>
    <n v="54260"/>
    <n v="0"/>
    <s v="A"/>
    <s v="LeMay Enterprises"/>
    <s v="NA"/>
    <s v=" "/>
    <s v="STL"/>
    <s v="YES"/>
    <n v="0"/>
    <s v="Drop Box"/>
    <x v="7"/>
    <n v="11"/>
    <n v="2008"/>
    <n v="2015"/>
    <n v="2015.9166666666667"/>
    <n v="111.28119047619049"/>
    <n v="1335.3742857142859"/>
    <n v="0"/>
    <n v="9347.6200000000008"/>
    <n v="9347.6200000000008"/>
    <n v="0"/>
    <x v="0"/>
  </r>
  <r>
    <n v="2149"/>
    <n v="275566"/>
    <s v="P"/>
    <s v="Capitalized"/>
    <s v="48gal MSW Totes"/>
    <m/>
    <m/>
    <n v="210"/>
    <m/>
    <n v="0"/>
    <m/>
    <m/>
    <s v="CONTAINERS"/>
    <s v="TBA"/>
    <m/>
    <m/>
    <m/>
    <d v="2022-03-04T00:00:00"/>
    <d v="2022-03-04T00:00:00"/>
    <s v="2149-22-0007-1"/>
    <n v="700"/>
    <n v="14050"/>
    <n v="14373.54"/>
    <n v="14056"/>
    <n v="4448.9399999999996"/>
    <n v="9924.6000000000022"/>
    <n v="684.44"/>
    <n v="54260"/>
    <n v="171.11"/>
    <s v="P"/>
    <m/>
    <m/>
    <s v=" "/>
    <s v="STL"/>
    <s v="YES"/>
    <n v="0"/>
    <s v="Shared Garbage Carts"/>
    <x v="2"/>
    <n v="3"/>
    <n v="2022"/>
    <n v="2029"/>
    <n v="2029.25"/>
    <n v="171.11357142857142"/>
    <n v="2053.3628571428571"/>
    <n v="2053.3628571428571"/>
    <n v="2053.362857142858"/>
    <n v="4106.7257142857152"/>
    <n v="10266.814285714285"/>
    <x v="0"/>
  </r>
  <r>
    <n v="2149"/>
    <n v="275272"/>
    <s v="P"/>
    <s v="Capitalized"/>
    <s v="NOREGON Shop Panasonic Toughbook FZ-55"/>
    <m/>
    <m/>
    <n v="1"/>
    <m/>
    <n v="0"/>
    <s v="NOREGON SYSTEMS INC"/>
    <m/>
    <s v="HARDWARE AND SOFTWARE"/>
    <s v="TBA"/>
    <m/>
    <m/>
    <m/>
    <d v="2022-01-10T00:00:00"/>
    <d v="2022-01-10T00:00:00"/>
    <s v="2149-22-0008-1"/>
    <n v="200"/>
    <n v="14110"/>
    <n v="7026.19"/>
    <n v="14116"/>
    <n v="7026.19"/>
    <n v="0"/>
    <n v="0"/>
    <n v="70260"/>
    <n v="0"/>
    <s v="P"/>
    <m/>
    <m/>
    <s v=" "/>
    <s v="STL"/>
    <s v="YES"/>
    <n v="0"/>
    <s v="Shop Equipment"/>
    <x v="4"/>
    <n v="1"/>
    <n v="2022"/>
    <n v="2024"/>
    <n v="2024.0833333333333"/>
    <n v="292.75791666666663"/>
    <n v="3513.0949999999993"/>
    <n v="0"/>
    <n v="4098.6108333335997"/>
    <n v="7026.19"/>
    <n v="0"/>
    <x v="0"/>
  </r>
  <r>
    <n v="2149"/>
    <n v="274953"/>
    <s v="P"/>
    <s v="Capitalized"/>
    <s v="95gal Plastic Totes"/>
    <m/>
    <m/>
    <n v="702"/>
    <m/>
    <n v="0"/>
    <s v="REHRIG PACIFIC COMPANY IN"/>
    <m/>
    <s v="CONTAINERS"/>
    <s v="TBA"/>
    <m/>
    <m/>
    <m/>
    <d v="2022-03-07T00:00:00"/>
    <d v="2022-03-07T00:00:00"/>
    <s v="2149-22-0010-1"/>
    <n v="700"/>
    <n v="14050"/>
    <n v="45822.07"/>
    <n v="14056"/>
    <n v="14183.02"/>
    <n v="31639.05"/>
    <n v="2182"/>
    <n v="54260"/>
    <n v="545.5"/>
    <s v="P"/>
    <m/>
    <m/>
    <s v=" "/>
    <s v="STL"/>
    <s v="YES"/>
    <n v="0"/>
    <s v="Shared Recycle Carts"/>
    <x v="17"/>
    <n v="3"/>
    <n v="2022"/>
    <n v="2029"/>
    <n v="2029.25"/>
    <n v="545.50083333333339"/>
    <n v="6546.01"/>
    <n v="6546.01"/>
    <n v="6546.0099999999948"/>
    <n v="13092.019999999995"/>
    <n v="32730.050000000003"/>
    <x v="0"/>
  </r>
  <r>
    <n v="2149"/>
    <n v="273692"/>
    <s v="P"/>
    <s v="Capitalized"/>
    <s v="300G Plastic Totes"/>
    <m/>
    <m/>
    <n v="20"/>
    <m/>
    <n v="0"/>
    <s v="TANK HOLDING CORP"/>
    <m/>
    <s v="CONTAINERS"/>
    <s v="TBA"/>
    <m/>
    <m/>
    <m/>
    <d v="2022-01-24T00:00:00"/>
    <d v="2022-01-24T00:00:00"/>
    <s v="2149-22-0009-1"/>
    <n v="700"/>
    <n v="14050"/>
    <n v="10448.549999999999"/>
    <n v="14056"/>
    <n v="3358.47"/>
    <n v="7090.08"/>
    <n v="497.56"/>
    <n v="54260"/>
    <n v="124.39"/>
    <s v="P"/>
    <m/>
    <m/>
    <s v=" "/>
    <s v="STL"/>
    <s v="YES"/>
    <n v="0"/>
    <s v="Shelton - Garbage Carts"/>
    <x v="15"/>
    <n v="1"/>
    <n v="2022"/>
    <n v="2029"/>
    <n v="2029.0833333333333"/>
    <n v="124.38749999999999"/>
    <n v="1492.6499999999999"/>
    <n v="1492.6499999999999"/>
    <n v="1741.4250000001139"/>
    <n v="3234.0750000001135"/>
    <n v="7214.4749999998858"/>
    <x v="0"/>
  </r>
  <r>
    <n v="2149"/>
    <n v="273623"/>
    <s v="P"/>
    <s v="Capitalized"/>
    <s v="Geo Tablets"/>
    <m/>
    <m/>
    <n v="43"/>
    <m/>
    <n v="0"/>
    <m/>
    <m/>
    <s v="HARDWARE AND SOFTWARE"/>
    <s v="TBA"/>
    <m/>
    <m/>
    <m/>
    <d v="2022-01-31T00:00:00"/>
    <d v="2022-01-31T00:00:00"/>
    <s v="1010-21-0060"/>
    <n v="100"/>
    <n v="14110"/>
    <n v="5490.17"/>
    <n v="14116"/>
    <n v="5490.17"/>
    <n v="0"/>
    <n v="0"/>
    <n v="70260"/>
    <n v="0"/>
    <s v="P"/>
    <m/>
    <m/>
    <s v=" "/>
    <s v="STL"/>
    <s v="YES"/>
    <n v="0"/>
    <s v="Shop Equipment"/>
    <x v="4"/>
    <n v="1"/>
    <n v="2022"/>
    <n v="2023"/>
    <n v="2023.0833333333333"/>
    <n v="457.51416666666665"/>
    <n v="5490.17"/>
    <n v="0"/>
    <n v="5490.17"/>
    <n v="5490.17"/>
    <n v="0"/>
    <x v="0"/>
  </r>
  <r>
    <n v="2149"/>
    <n v="271213"/>
    <n v="67079"/>
    <s v="Capitalized"/>
    <s v="Capital Repair: ASL Truck 29 Engine Inframe"/>
    <m/>
    <m/>
    <n v="1"/>
    <m/>
    <n v="0"/>
    <s v="Pape Kenworth"/>
    <m/>
    <s v="TRUCKS AND TRAILERS"/>
    <s v="TBA"/>
    <s v="Non-Rolling Stock"/>
    <m/>
    <m/>
    <d v="2021-11-02T00:00:00"/>
    <d v="2021-11-02T00:00:00"/>
    <s v="2149-21-0013-1"/>
    <n v="300"/>
    <n v="14040"/>
    <n v="39600.97"/>
    <n v="14046"/>
    <n v="33000.81"/>
    <n v="6600.1600000000035"/>
    <n v="4400.12"/>
    <n v="51260"/>
    <n v="1100.03"/>
    <s v="P"/>
    <m/>
    <m/>
    <s v=" "/>
    <s v="STL"/>
    <s v="YES"/>
    <n v="0"/>
    <s v="Garbage ASL Truck-Shared"/>
    <x v="6"/>
    <n v="11"/>
    <n v="2021"/>
    <n v="2024"/>
    <n v="2024.9166666666667"/>
    <n v="1100.0269444444446"/>
    <n v="13200.323333333334"/>
    <n v="13200.323333333334"/>
    <n v="17600.431111110109"/>
    <n v="30800.754444443442"/>
    <n v="8800.2155555565587"/>
    <x v="0"/>
  </r>
  <r>
    <n v="2149"/>
    <n v="270738"/>
    <s v="P"/>
    <s v="Capitalized"/>
    <s v="3rd Eye Camera -Cables"/>
    <m/>
    <m/>
    <n v="1"/>
    <m/>
    <n v="0"/>
    <m/>
    <m/>
    <s v="SHOP EQUIPMENT"/>
    <s v="TBA"/>
    <m/>
    <m/>
    <m/>
    <d v="2021-12-31T00:00:00"/>
    <d v="2021-12-31T00:00:00"/>
    <s v="1010-21-0039"/>
    <n v="500"/>
    <n v="14070"/>
    <n v="113.93"/>
    <n v="14076"/>
    <n v="53.18"/>
    <n v="60.750000000000007"/>
    <n v="7.6"/>
    <n v="51260"/>
    <n v="1.9"/>
    <s v="P"/>
    <m/>
    <m/>
    <s v=" "/>
    <s v="STL"/>
    <s v="YES"/>
    <n v="0"/>
    <s v="Shop Equipment"/>
    <x v="4"/>
    <n v="12"/>
    <n v="2021"/>
    <n v="2026"/>
    <n v="2027"/>
    <n v="1.8988333333333334"/>
    <n v="22.786000000000001"/>
    <n v="22.786000000000001"/>
    <n v="28.482500000000002"/>
    <n v="51.268500000000003"/>
    <n v="62.661500000000004"/>
    <x v="0"/>
  </r>
  <r>
    <n v="2149"/>
    <n v="270622"/>
    <s v="P"/>
    <s v="Capitalized"/>
    <s v="3rd Eye Camera"/>
    <m/>
    <m/>
    <n v="24"/>
    <m/>
    <n v="0"/>
    <m/>
    <m/>
    <s v="SHOP EQUIPMENT"/>
    <s v="TBA"/>
    <m/>
    <m/>
    <m/>
    <d v="2021-12-31T00:00:00"/>
    <d v="2021-12-31T00:00:00"/>
    <s v="1010-21-0039"/>
    <n v="500"/>
    <n v="14070"/>
    <n v="10173.34"/>
    <n v="14076"/>
    <n v="4747.58"/>
    <n v="5425.76"/>
    <n v="678.24"/>
    <n v="51260"/>
    <n v="169.56"/>
    <s v="P"/>
    <m/>
    <m/>
    <s v=" "/>
    <s v="STL"/>
    <s v="YES"/>
    <n v="0"/>
    <s v="Shop Equipment"/>
    <x v="4"/>
    <n v="12"/>
    <n v="2021"/>
    <n v="2026"/>
    <n v="2027"/>
    <n v="169.55566666666667"/>
    <n v="2034.6680000000001"/>
    <n v="2034.6680000000001"/>
    <n v="2543.335"/>
    <n v="4578.0030000000006"/>
    <n v="5595.3369999999995"/>
    <x v="0"/>
  </r>
  <r>
    <n v="2149"/>
    <n v="260752"/>
    <s v="P"/>
    <s v="Capitalized"/>
    <s v="1yd REL Metal Containers"/>
    <m/>
    <m/>
    <n v="12"/>
    <m/>
    <n v="0"/>
    <s v="CAPITAL INDUSTRIES INC"/>
    <m/>
    <s v="CONTAINERS"/>
    <s v="TBA"/>
    <m/>
    <s v="1 YD"/>
    <s v="FEL/REL/SL Metal"/>
    <d v="2021-09-28T00:00:00"/>
    <d v="2021-09-28T00:00:00"/>
    <s v="2149-21-0011-1"/>
    <n v="1200"/>
    <n v="14050"/>
    <n v="7380"/>
    <n v="14056"/>
    <n v="1588.75"/>
    <n v="5791.25"/>
    <n v="205"/>
    <n v="54260"/>
    <n v="51.25"/>
    <s v="P"/>
    <m/>
    <m/>
    <s v=" "/>
    <s v="STL"/>
    <s v="YES"/>
    <n v="0"/>
    <s v="Containers"/>
    <x v="8"/>
    <n v="9"/>
    <n v="2021"/>
    <n v="2033"/>
    <n v="2033.75"/>
    <n v="51.25"/>
    <n v="615"/>
    <n v="615"/>
    <n v="922.5"/>
    <n v="1537.5"/>
    <n v="5842.5"/>
    <x v="0"/>
  </r>
  <r>
    <n v="2149"/>
    <n v="260306"/>
    <s v="P"/>
    <s v="Capitalized"/>
    <s v="48gal MSW Totes"/>
    <m/>
    <m/>
    <n v="100"/>
    <m/>
    <n v="0"/>
    <s v="TOTER LLC"/>
    <m/>
    <s v="CONTAINERS"/>
    <s v="TBA"/>
    <m/>
    <m/>
    <m/>
    <d v="2021-08-28T00:00:00"/>
    <d v="2021-08-28T00:00:00"/>
    <s v="2149-21-0014-1"/>
    <n v="700"/>
    <n v="14050"/>
    <n v="8126.44"/>
    <n v="14056"/>
    <n v="3095.77"/>
    <n v="5030.67"/>
    <n v="386.96"/>
    <n v="54260"/>
    <n v="96.74"/>
    <s v="P"/>
    <m/>
    <m/>
    <s v=" "/>
    <s v="STL"/>
    <s v="YES"/>
    <n v="0"/>
    <s v="Shared Garbage Carts"/>
    <x v="2"/>
    <n v="8"/>
    <n v="2021"/>
    <n v="2028"/>
    <n v="2028.6666666666667"/>
    <n v="96.743333333333325"/>
    <n v="1160.9199999999998"/>
    <n v="1160.9199999999998"/>
    <n v="1838.1233333332457"/>
    <n v="2999.0433333332458"/>
    <n v="5127.3966666667538"/>
    <x v="0"/>
  </r>
  <r>
    <n v="2149"/>
    <n v="259970"/>
    <s v="P"/>
    <s v="Capitalized"/>
    <s v="95gal Recycle Totes"/>
    <m/>
    <m/>
    <n v="600"/>
    <m/>
    <n v="0"/>
    <s v="REHRIG PACIFIC COMPANY IN"/>
    <m/>
    <s v="CONTAINERS"/>
    <s v="TBA"/>
    <m/>
    <m/>
    <m/>
    <d v="2021-08-31T00:00:00"/>
    <d v="2021-08-31T00:00:00"/>
    <s v="2149-21-0015-1"/>
    <n v="700"/>
    <n v="14050"/>
    <n v="37198.15"/>
    <n v="14056"/>
    <n v="14170.74"/>
    <n v="23027.410000000003"/>
    <n v="1771.36"/>
    <n v="54260"/>
    <n v="442.84"/>
    <s v="P"/>
    <m/>
    <m/>
    <s v=" "/>
    <s v="STL"/>
    <s v="YES"/>
    <n v="0"/>
    <s v="Carts - Recycling"/>
    <x v="18"/>
    <n v="8"/>
    <n v="2021"/>
    <n v="2028"/>
    <n v="2028.6666666666667"/>
    <n v="442.83511904761912"/>
    <n v="5314.0214285714292"/>
    <n v="5314.0214285714292"/>
    <n v="8413.8672619043573"/>
    <n v="13727.888690475786"/>
    <n v="23470.261309524216"/>
    <x v="0"/>
  </r>
  <r>
    <n v="2149"/>
    <n v="259969"/>
    <s v="P"/>
    <s v="Capitalized"/>
    <s v="95gal MSW Totes"/>
    <m/>
    <m/>
    <n v="400"/>
    <m/>
    <n v="0"/>
    <s v="REHRIG PACIFIC COMPANY IN"/>
    <m/>
    <s v="CONTAINERS"/>
    <s v="TBA"/>
    <m/>
    <m/>
    <m/>
    <d v="2021-08-31T00:00:00"/>
    <d v="2021-08-31T00:00:00"/>
    <s v="2149-21-0015-1"/>
    <n v="700"/>
    <n v="14050"/>
    <n v="24798.76"/>
    <n v="14056"/>
    <n v="9447.1200000000008"/>
    <n v="15351.639999999998"/>
    <n v="1180.8800000000001"/>
    <n v="54260"/>
    <n v="295.22000000000003"/>
    <s v="P"/>
    <m/>
    <m/>
    <s v=" "/>
    <s v="STL"/>
    <s v="YES"/>
    <n v="0"/>
    <s v="Shared Garbage Carts"/>
    <x v="2"/>
    <n v="8"/>
    <n v="2021"/>
    <n v="2028"/>
    <n v="2028.6666666666667"/>
    <n v="295.2233333333333"/>
    <n v="3542.6799999999994"/>
    <n v="3542.6799999999994"/>
    <n v="5609.2433333330664"/>
    <n v="9151.9233333330667"/>
    <n v="15646.836666666932"/>
    <x v="0"/>
  </r>
  <r>
    <n v="2149"/>
    <n v="259968"/>
    <s v="P"/>
    <s v="Capitalized"/>
    <s v="65gal MSW Totes"/>
    <m/>
    <m/>
    <n v="224"/>
    <m/>
    <n v="0"/>
    <s v="REHRIG PACIFIC COMPANY IN"/>
    <m/>
    <s v="CONTAINERS"/>
    <s v="TBA"/>
    <m/>
    <m/>
    <m/>
    <d v="2021-08-31T00:00:00"/>
    <d v="2021-08-31T00:00:00"/>
    <s v="2149-21-0015-1"/>
    <n v="700"/>
    <n v="14050"/>
    <n v="12353.72"/>
    <n v="14056"/>
    <n v="4706.1899999999996"/>
    <n v="7647.53"/>
    <n v="588.28"/>
    <n v="54260"/>
    <n v="147.07"/>
    <s v="P"/>
    <m/>
    <m/>
    <s v=" "/>
    <s v="STL"/>
    <s v="YES"/>
    <n v="0"/>
    <s v="Shared Garbage Carts"/>
    <x v="2"/>
    <n v="8"/>
    <n v="2021"/>
    <n v="2028"/>
    <n v="2028.6666666666667"/>
    <n v="147.06809523809522"/>
    <n v="1764.8171428571427"/>
    <n v="1764.8171428571427"/>
    <n v="2794.2938095236768"/>
    <n v="4559.1109523808191"/>
    <n v="7794.6090476191803"/>
    <x v="0"/>
  </r>
  <r>
    <n v="2149"/>
    <n v="259343"/>
    <n v="257717"/>
    <s v="Capitalized"/>
    <s v="License for Truck 49"/>
    <m/>
    <m/>
    <n v="1"/>
    <m/>
    <n v="0"/>
    <s v="WA State DOL"/>
    <m/>
    <s v="TRUCKS AND TRAILERS"/>
    <s v="TBA"/>
    <s v="Non-Rolling Stock"/>
    <m/>
    <m/>
    <d v="2021-08-10T00:00:00"/>
    <d v="2021-08-10T00:00:00"/>
    <s v="2149-21-0004-1"/>
    <n v="1000"/>
    <n v="14040"/>
    <n v="417.67"/>
    <n v="14046"/>
    <n v="114.84"/>
    <n v="302.83000000000004"/>
    <n v="13.92"/>
    <n v="51260"/>
    <n v="3.48"/>
    <s v="P"/>
    <m/>
    <m/>
    <s v=" "/>
    <s v="STL"/>
    <s v="YES"/>
    <n v="0"/>
    <s v="Trks Shelton"/>
    <x v="16"/>
    <n v="8"/>
    <n v="2021"/>
    <n v="2031"/>
    <n v="2031.6666666666667"/>
    <n v="3.4805833333333336"/>
    <n v="41.767000000000003"/>
    <n v="41.767000000000003"/>
    <n v="66.131083333330139"/>
    <n v="107.89808333333013"/>
    <n v="309.77191666666988"/>
    <x v="0"/>
  </r>
  <r>
    <n v="2149"/>
    <n v="259330"/>
    <n v="255408"/>
    <s v="Capitalized"/>
    <s v="License for Truck 50"/>
    <m/>
    <m/>
    <n v="1"/>
    <m/>
    <n v="0"/>
    <s v="WA State DOL"/>
    <m/>
    <s v="TRUCKS AND TRAILERS"/>
    <s v="TBA"/>
    <s v="Non-Rolling Stock"/>
    <m/>
    <m/>
    <d v="2021-08-10T00:00:00"/>
    <d v="2021-08-10T00:00:00"/>
    <s v="2149-21-0002-1"/>
    <n v="1000"/>
    <n v="14040"/>
    <n v="1025.7"/>
    <n v="14046"/>
    <n v="282.08"/>
    <n v="743.62000000000012"/>
    <n v="34.200000000000003"/>
    <n v="51260"/>
    <n v="8.5500000000000007"/>
    <s v="P"/>
    <m/>
    <m/>
    <s v=" "/>
    <s v="STL"/>
    <s v="YES"/>
    <n v="0"/>
    <s v="Roll-off Truck"/>
    <x v="9"/>
    <n v="8"/>
    <n v="2021"/>
    <n v="2031"/>
    <n v="2031.6666666666667"/>
    <n v="8.5475000000000012"/>
    <n v="102.57000000000002"/>
    <n v="102.57000000000002"/>
    <n v="162.40249999999219"/>
    <n v="264.97249999999224"/>
    <n v="760.72750000000781"/>
    <x v="0"/>
  </r>
  <r>
    <n v="2149"/>
    <n v="257717"/>
    <s v="P"/>
    <s v="Capitalized"/>
    <s v="2022 Peterbilt ASL Truck"/>
    <m/>
    <m/>
    <n v="1"/>
    <s v="3BPDLK0X9NF111043"/>
    <n v="2022"/>
    <s v="Peterbilt"/>
    <s v="Labrie"/>
    <s v="TRUCKS AND TRAILERS"/>
    <s v="TBA"/>
    <s v="Automated Side Loader"/>
    <m/>
    <m/>
    <d v="2021-08-31T00:00:00"/>
    <d v="2021-08-31T00:00:00"/>
    <s v="2149-21-0004"/>
    <n v="1000"/>
    <n v="14040"/>
    <n v="393570.72"/>
    <n v="14046"/>
    <n v="104952.2"/>
    <n v="288618.51999999996"/>
    <n v="13119.04"/>
    <n v="51260"/>
    <n v="3279.76"/>
    <s v="P"/>
    <m/>
    <n v="49"/>
    <s v=" "/>
    <s v="STL"/>
    <s v="YES"/>
    <n v="0"/>
    <s v="Trks Shelton"/>
    <x v="16"/>
    <n v="8"/>
    <n v="2021"/>
    <n v="2031"/>
    <n v="2031.6666666666667"/>
    <n v="3279.7559999999999"/>
    <n v="39357.072"/>
    <n v="39357.072"/>
    <n v="62315.363999996975"/>
    <n v="101672.43599999697"/>
    <n v="291898.28400000301"/>
    <x v="0"/>
  </r>
  <r>
    <n v="2149"/>
    <n v="257137"/>
    <s v="P"/>
    <s v="Capitalized"/>
    <s v="2 Yd RL Containers"/>
    <m/>
    <m/>
    <n v="9"/>
    <m/>
    <n v="0"/>
    <s v="Capital Industries, Inc."/>
    <m/>
    <s v="CONTAINERS"/>
    <s v="TBA"/>
    <m/>
    <s v="2 YD"/>
    <s v="FEL/REL/SL Metal"/>
    <d v="2001-05-15T00:00:00"/>
    <d v="2001-05-15T00:00:00"/>
    <s v="01-2111-006"/>
    <n v="1200"/>
    <n v="14050"/>
    <n v="3405.6"/>
    <n v="14056"/>
    <n v="3405.6"/>
    <n v="0"/>
    <n v="0"/>
    <n v="54260"/>
    <n v="0"/>
    <s v="P"/>
    <m/>
    <m/>
    <s v=" "/>
    <s v="STL"/>
    <s v="YES"/>
    <n v="0"/>
    <s v="Containers"/>
    <x v="8"/>
    <n v="5"/>
    <n v="2001"/>
    <n v="2013"/>
    <n v="2013.4166666666667"/>
    <n v="23.650000000000002"/>
    <n v="283.8"/>
    <n v="0"/>
    <n v="3405.6"/>
    <n v="3405.6"/>
    <n v="0"/>
    <x v="0"/>
  </r>
  <r>
    <n v="2149"/>
    <n v="257136"/>
    <s v="P"/>
    <s v="Capitalized"/>
    <s v="1 Yard FEL Containers w/ Lids &amp; Casters"/>
    <m/>
    <m/>
    <n v="2"/>
    <m/>
    <n v="0"/>
    <s v="Capital Industries, Inc."/>
    <m/>
    <s v="CONTAINERS"/>
    <s v="TBA"/>
    <m/>
    <s v="1 YD"/>
    <s v="FEL/REL/SL Metal"/>
    <d v="2005-06-16T00:00:00"/>
    <d v="2005-06-16T00:00:00"/>
    <n v="52131007"/>
    <n v="1200"/>
    <n v="14050"/>
    <n v="859.52"/>
    <n v="14056"/>
    <n v="859.52"/>
    <n v="0"/>
    <n v="0"/>
    <n v="54260"/>
    <n v="0"/>
    <s v="P"/>
    <n v="0"/>
    <m/>
    <s v=" "/>
    <s v="STL"/>
    <s v="YES"/>
    <n v="0"/>
    <s v="Containers"/>
    <x v="8"/>
    <n v="6"/>
    <n v="2005"/>
    <n v="2017"/>
    <n v="2017.5"/>
    <n v="5.9688888888888885"/>
    <n v="71.626666666666665"/>
    <n v="0"/>
    <n v="859.52"/>
    <n v="859.52"/>
    <n v="0"/>
    <x v="0"/>
  </r>
  <r>
    <n v="2149"/>
    <n v="257135"/>
    <s v="P"/>
    <s v="Capitalized"/>
    <s v="12 ft Storage Units"/>
    <m/>
    <m/>
    <n v="2"/>
    <m/>
    <n v="0"/>
    <m/>
    <m/>
    <s v="CONTAINERS"/>
    <s v="TBA"/>
    <m/>
    <s v="10 YD"/>
    <s v="RO Box"/>
    <d v="1990-06-29T00:00:00"/>
    <d v="1990-06-29T00:00:00"/>
    <m/>
    <n v="1500"/>
    <n v="14050"/>
    <n v="5112.45"/>
    <n v="14056"/>
    <n v="5112.45"/>
    <n v="0"/>
    <n v="0"/>
    <n v="54260"/>
    <n v="0"/>
    <s v="A"/>
    <s v="American Portable Storage"/>
    <s v="NA"/>
    <s v=" "/>
    <s v="STL"/>
    <s v="YES"/>
    <n v="0"/>
    <s v="Shop Equipment"/>
    <x v="4"/>
    <n v="6"/>
    <n v="1990"/>
    <n v="2005"/>
    <n v="2005.5"/>
    <n v="28.4025"/>
    <n v="340.83"/>
    <n v="0"/>
    <n v="5112.45"/>
    <n v="5112.45"/>
    <n v="0"/>
    <x v="0"/>
  </r>
  <r>
    <n v="2149"/>
    <n v="256597"/>
    <s v="P"/>
    <s v="Capitalized"/>
    <s v="20yd Drop Box (N)"/>
    <m/>
    <m/>
    <n v="2"/>
    <m/>
    <n v="0"/>
    <m/>
    <m/>
    <s v="CONTAINERS"/>
    <s v="TBA"/>
    <m/>
    <s v="20 YD"/>
    <s v="RO Box"/>
    <d v="1998-04-01T00:00:00"/>
    <d v="1998-04-01T00:00:00"/>
    <m/>
    <n v="1200"/>
    <n v="14050"/>
    <n v="7295.28"/>
    <n v="14056"/>
    <n v="7295.28"/>
    <n v="0"/>
    <n v="0"/>
    <n v="54260"/>
    <n v="0"/>
    <s v="A"/>
    <s v="DM Recycling"/>
    <s v="NA"/>
    <s v=" "/>
    <s v="STL"/>
    <s v="YES"/>
    <n v="0"/>
    <s v="Drop Box"/>
    <x v="7"/>
    <n v="4"/>
    <n v="1998"/>
    <n v="2010"/>
    <n v="2010.3333333333333"/>
    <n v="50.661666666666662"/>
    <n v="607.93999999999994"/>
    <n v="0"/>
    <n v="7295.28"/>
    <n v="7295.28"/>
    <n v="0"/>
    <x v="0"/>
  </r>
  <r>
    <n v="2149"/>
    <n v="256596"/>
    <s v="P"/>
    <s v="Capitalized"/>
    <s v="20 yd Drop Box w/Lids"/>
    <m/>
    <m/>
    <n v="2"/>
    <m/>
    <n v="0"/>
    <m/>
    <m/>
    <s v="CONTAINERS"/>
    <s v="TBA"/>
    <m/>
    <s v="20 YD"/>
    <s v="RO Box"/>
    <d v="1994-10-31T00:00:00"/>
    <d v="1994-10-31T00:00:00"/>
    <m/>
    <n v="1200"/>
    <n v="14050"/>
    <n v="6716.13"/>
    <n v="14056"/>
    <n v="6716.13"/>
    <n v="0"/>
    <n v="0"/>
    <n v="54260"/>
    <n v="0"/>
    <s v="A"/>
    <s v="DM Recycling"/>
    <s v="NA"/>
    <s v=" "/>
    <s v="STL"/>
    <s v="YES"/>
    <n v="0"/>
    <s v="Drop Box"/>
    <x v="7"/>
    <n v="10"/>
    <n v="1994"/>
    <n v="2006"/>
    <n v="2006.8333333333333"/>
    <n v="46.639791666666667"/>
    <n v="559.67750000000001"/>
    <n v="0"/>
    <n v="6716.13"/>
    <n v="6716.13"/>
    <n v="0"/>
    <x v="0"/>
  </r>
  <r>
    <n v="2149"/>
    <n v="256595"/>
    <s v="P"/>
    <s v="Capitalized"/>
    <s v="2yd Containers"/>
    <m/>
    <m/>
    <n v="12"/>
    <s v="194714-164725"/>
    <n v="0"/>
    <s v="Dewalt Northwest"/>
    <m/>
    <s v="CONTAINERS"/>
    <s v="TBA"/>
    <m/>
    <s v="2 YD"/>
    <s v="FEL/REL/SL Metal"/>
    <d v="2000-03-02T00:00:00"/>
    <d v="2000-03-02T00:00:00"/>
    <n v="219"/>
    <n v="1200"/>
    <n v="14050"/>
    <n v="3814.99"/>
    <n v="14056"/>
    <n v="3814.99"/>
    <n v="0"/>
    <n v="0"/>
    <n v="54260"/>
    <n v="0"/>
    <s v="P"/>
    <s v="Murreys Disposal"/>
    <m/>
    <s v=" "/>
    <s v="STL"/>
    <s v="YES"/>
    <n v="0"/>
    <s v="Containers"/>
    <x v="8"/>
    <n v="3"/>
    <n v="2000"/>
    <n v="2012"/>
    <n v="2012.25"/>
    <n v="26.492986111111108"/>
    <n v="317.9158333333333"/>
    <n v="0"/>
    <n v="3814.99"/>
    <n v="3814.99"/>
    <n v="0"/>
    <x v="0"/>
  </r>
  <r>
    <n v="2149"/>
    <n v="256169"/>
    <s v="P"/>
    <s v="Capitalized"/>
    <s v="65gal Garbage Totes"/>
    <m/>
    <m/>
    <n v="112"/>
    <m/>
    <n v="0"/>
    <s v="REHRIG PACIFIC COMPANY IN"/>
    <m/>
    <s v="CONTAINERS"/>
    <s v="TBA"/>
    <m/>
    <m/>
    <m/>
    <d v="2021-07-25T00:00:00"/>
    <d v="2021-07-25T00:00:00"/>
    <s v="2149-21-0012-1"/>
    <n v="700"/>
    <n v="14050"/>
    <n v="5975.14"/>
    <n v="14056"/>
    <n v="2347.36"/>
    <n v="3627.78"/>
    <n v="284.52"/>
    <n v="54260"/>
    <n v="71.13"/>
    <s v="P"/>
    <m/>
    <m/>
    <s v=" "/>
    <s v="STL"/>
    <s v="YES"/>
    <n v="0"/>
    <s v="Shared Garbage Carts"/>
    <x v="2"/>
    <n v="7"/>
    <n v="2021"/>
    <n v="2028"/>
    <n v="2028.5833333333333"/>
    <n v="71.132619047619059"/>
    <n v="853.59142857142865"/>
    <n v="853.59142857142865"/>
    <n v="1422.6523809524451"/>
    <n v="2276.243809523874"/>
    <n v="3698.8961904761263"/>
    <x v="0"/>
  </r>
  <r>
    <n v="2149"/>
    <n v="256168"/>
    <s v="P"/>
    <s v="Capitalized"/>
    <s v="95gal Garbage Totes"/>
    <m/>
    <m/>
    <n v="200"/>
    <m/>
    <n v="0"/>
    <s v="REHRIG PACIFIC COMPANY IN"/>
    <m/>
    <s v="CONTAINERS"/>
    <s v="TBA"/>
    <m/>
    <m/>
    <m/>
    <d v="2021-07-25T00:00:00"/>
    <d v="2021-07-25T00:00:00"/>
    <s v="2149-21-0012-1"/>
    <n v="700"/>
    <n v="14050"/>
    <n v="11900.28"/>
    <n v="14056"/>
    <n v="4675.1099999999997"/>
    <n v="7225.170000000001"/>
    <n v="566.67999999999995"/>
    <n v="54260"/>
    <n v="141.66999999999999"/>
    <s v="P"/>
    <m/>
    <m/>
    <s v=" "/>
    <s v="STL"/>
    <s v="YES"/>
    <n v="0"/>
    <s v="Shared Garbage Carts"/>
    <x v="2"/>
    <n v="7"/>
    <n v="2021"/>
    <n v="2028"/>
    <n v="2028.5833333333333"/>
    <n v="141.67000000000002"/>
    <n v="1700.0400000000002"/>
    <n v="1700.0400000000002"/>
    <n v="2833.4000000001288"/>
    <n v="4533.4400000001287"/>
    <n v="7366.8399999998719"/>
    <x v="0"/>
  </r>
  <r>
    <n v="2149"/>
    <n v="256167"/>
    <s v="P"/>
    <s v="Capitalized"/>
    <s v="95gal Recycle Totes"/>
    <m/>
    <m/>
    <n v="300"/>
    <m/>
    <n v="0"/>
    <s v="REHRIG PACIFIC COMPANY IN"/>
    <m/>
    <s v="CONTAINERS"/>
    <s v="TBA"/>
    <m/>
    <m/>
    <m/>
    <d v="2021-07-25T00:00:00"/>
    <d v="2021-07-25T00:00:00"/>
    <s v="2149-21-0012-1"/>
    <n v="700"/>
    <n v="14050"/>
    <n v="17850.419999999998"/>
    <n v="14056"/>
    <n v="7012.69"/>
    <n v="10837.73"/>
    <n v="850.04"/>
    <n v="54260"/>
    <n v="212.51"/>
    <s v="P"/>
    <m/>
    <m/>
    <s v=" "/>
    <s v="STL"/>
    <s v="YES"/>
    <n v="0"/>
    <s v="Carts - Recycling"/>
    <x v="18"/>
    <n v="7"/>
    <n v="2021"/>
    <n v="2028"/>
    <n v="2028.5833333333333"/>
    <n v="212.505"/>
    <n v="2550.06"/>
    <n v="2550.06"/>
    <n v="4250.1000000001914"/>
    <n v="6800.1600000001908"/>
    <n v="11050.259999999807"/>
    <x v="0"/>
  </r>
  <r>
    <n v="2149"/>
    <n v="255877"/>
    <s v="P"/>
    <s v="Capitalized"/>
    <s v="2yd REL Metal Containers"/>
    <m/>
    <m/>
    <n v="30"/>
    <m/>
    <n v="0"/>
    <s v="CAPITAL INDUSTRIES INC"/>
    <m/>
    <s v="CONTAINERS"/>
    <s v="TBA"/>
    <m/>
    <s v="2 YD"/>
    <s v="FEL/REL/SL Metal"/>
    <d v="2021-07-07T00:00:00"/>
    <d v="2021-07-07T00:00:00"/>
    <s v="2149-21-0011-1"/>
    <n v="1200"/>
    <n v="14050"/>
    <n v="22050"/>
    <n v="14056"/>
    <n v="5206.2700000000004"/>
    <n v="16843.73"/>
    <n v="612.52"/>
    <n v="54260"/>
    <n v="153.13"/>
    <s v="P"/>
    <m/>
    <m/>
    <s v=" "/>
    <s v="STL"/>
    <s v="YES"/>
    <n v="0"/>
    <s v="Containers"/>
    <x v="8"/>
    <n v="7"/>
    <n v="2021"/>
    <n v="2033"/>
    <n v="2033.5833333333333"/>
    <n v="153.125"/>
    <n v="1837.5"/>
    <n v="1837.5"/>
    <n v="3062.5000000001382"/>
    <n v="4900.0000000001382"/>
    <n v="17149.999999999862"/>
    <x v="0"/>
  </r>
  <r>
    <n v="2149"/>
    <n v="255685"/>
    <s v="P"/>
    <s v="Capitalized"/>
    <s v="Drive Cams"/>
    <m/>
    <m/>
    <n v="1"/>
    <m/>
    <n v="0"/>
    <m/>
    <m/>
    <s v="SHOP EQUIPMENT"/>
    <s v="TBA"/>
    <m/>
    <m/>
    <m/>
    <d v="2021-07-01T00:00:00"/>
    <d v="2021-07-01T00:00:00"/>
    <s v="1010-21-0038"/>
    <n v="500"/>
    <n v="14070"/>
    <n v="539.04999999999995"/>
    <n v="14076"/>
    <n v="305.42"/>
    <n v="233.62999999999994"/>
    <n v="35.92"/>
    <n v="51260"/>
    <n v="8.98"/>
    <s v="P"/>
    <m/>
    <m/>
    <s v=" "/>
    <s v="STL"/>
    <s v="YES"/>
    <n v="0"/>
    <s v="Shop Equipment"/>
    <x v="4"/>
    <n v="7"/>
    <n v="2021"/>
    <n v="2026"/>
    <n v="2026.5833333333333"/>
    <n v="8.9841666666666651"/>
    <n v="107.80999999999997"/>
    <n v="107.80999999999997"/>
    <n v="179.68333333334152"/>
    <n v="287.49333333334152"/>
    <n v="251.55666666665843"/>
    <x v="0"/>
  </r>
  <r>
    <n v="2149"/>
    <n v="255408"/>
    <s v="P"/>
    <s v="Capitalized"/>
    <s v="2022 Peterbilt ROL Truck"/>
    <m/>
    <m/>
    <n v="1"/>
    <s v="1NPCX4EX1ND783005"/>
    <n v="2022"/>
    <s v="Peterbilt"/>
    <s v="AA Welding"/>
    <s v="TRUCKS AND TRAILERS"/>
    <s v="TBA"/>
    <s v="Roll Off"/>
    <m/>
    <m/>
    <d v="2021-07-20T00:00:00"/>
    <d v="2021-07-20T00:00:00"/>
    <s v="2149-21-0002"/>
    <n v="1000"/>
    <n v="14040"/>
    <n v="281256.27"/>
    <n v="14046"/>
    <n v="77345.440000000002"/>
    <n v="203910.83000000002"/>
    <n v="9375.2000000000007"/>
    <n v="51260"/>
    <n v="2343.8000000000002"/>
    <s v="P"/>
    <m/>
    <n v="50"/>
    <s v=" "/>
    <s v="STL"/>
    <s v="YES"/>
    <n v="0"/>
    <s v="Roll-off Truck"/>
    <x v="9"/>
    <n v="7"/>
    <n v="2021"/>
    <n v="2031"/>
    <n v="2031.5833333333333"/>
    <n v="2343.8022500000002"/>
    <n v="28125.627"/>
    <n v="28125.627"/>
    <n v="46876.045000002137"/>
    <n v="75001.672000002145"/>
    <n v="206254.59799999787"/>
    <x v="0"/>
  </r>
  <r>
    <n v="2149"/>
    <n v="254573"/>
    <s v="P"/>
    <s v="Capitalized"/>
    <s v="300gal Plastic Containers"/>
    <m/>
    <m/>
    <n v="25"/>
    <m/>
    <n v="0"/>
    <s v="TANK HOLDING CORP"/>
    <m/>
    <s v="CONTAINERS"/>
    <s v="TBA"/>
    <m/>
    <m/>
    <m/>
    <d v="2021-06-29T00:00:00"/>
    <d v="2021-06-29T00:00:00"/>
    <s v="2149-21-0010-1"/>
    <n v="700"/>
    <n v="14050"/>
    <n v="9873.5"/>
    <n v="14056"/>
    <n v="3996.41"/>
    <n v="5877.09"/>
    <n v="470.16"/>
    <n v="54260"/>
    <n v="117.54"/>
    <s v="P"/>
    <m/>
    <m/>
    <s v=" "/>
    <s v="STL"/>
    <s v="YES"/>
    <n v="0"/>
    <s v="Shelton - Commercial Containers"/>
    <x v="19"/>
    <n v="6"/>
    <n v="2021"/>
    <n v="2028"/>
    <n v="2028.5"/>
    <n v="117.54166666666667"/>
    <n v="1410.5"/>
    <n v="1410.5"/>
    <n v="2468.375"/>
    <n v="3878.875"/>
    <n v="5994.625"/>
    <x v="0"/>
  </r>
  <r>
    <n v="2149"/>
    <n v="252418"/>
    <s v="P"/>
    <s v="Capitalized"/>
    <s v="2001 Type M Curb"/>
    <m/>
    <m/>
    <n v="1"/>
    <s v="1HTSCABL61H384451"/>
    <n v="2001"/>
    <s v="International"/>
    <s v="Capital Ind."/>
    <s v="TRUCKS AND TRAILERS"/>
    <s v="TBA"/>
    <s v="Container Delivery Truck"/>
    <m/>
    <m/>
    <d v="2008-11-03T00:00:00"/>
    <d v="2008-11-03T00:00:00"/>
    <m/>
    <n v="300"/>
    <n v="14040"/>
    <n v="8500"/>
    <n v="14046"/>
    <n v="8500"/>
    <n v="0"/>
    <n v="0"/>
    <n v="51260"/>
    <n v="0"/>
    <s v="A"/>
    <s v="LeMay Enterprises"/>
    <n v="5041"/>
    <s v=" "/>
    <s v="STL"/>
    <s v="YES"/>
    <n v="0"/>
    <s v="Shop Equipment"/>
    <x v="4"/>
    <n v="11"/>
    <n v="2008"/>
    <n v="2011"/>
    <n v="2011.9166666666667"/>
    <n v="236.11111111111111"/>
    <n v="2833.3333333333335"/>
    <n v="0"/>
    <n v="8500"/>
    <n v="8500"/>
    <n v="0"/>
    <x v="0"/>
  </r>
  <r>
    <n v="2149"/>
    <n v="252130"/>
    <s v="P"/>
    <s v="Capitalized"/>
    <s v="48gal Plastic MSW Carts"/>
    <m/>
    <m/>
    <n v="100"/>
    <m/>
    <n v="0"/>
    <s v="TOTER LLC"/>
    <m/>
    <s v="CONTAINERS"/>
    <s v="TBA"/>
    <m/>
    <m/>
    <m/>
    <d v="2021-05-10T00:00:00"/>
    <d v="2021-05-10T00:00:00"/>
    <s v="2149-21-0009-1"/>
    <n v="700"/>
    <n v="14050"/>
    <n v="5951.67"/>
    <n v="14056"/>
    <n v="2550.71"/>
    <n v="3400.96"/>
    <n v="283.39999999999998"/>
    <n v="54260"/>
    <n v="70.849999999999994"/>
    <s v="P"/>
    <m/>
    <m/>
    <s v=" "/>
    <s v="STL"/>
    <s v="YES"/>
    <n v="0"/>
    <s v="Shared Garbage Carts"/>
    <x v="2"/>
    <n v="5"/>
    <n v="2021"/>
    <n v="2028"/>
    <n v="2028.4166666666667"/>
    <n v="70.853214285714287"/>
    <n v="850.2385714285715"/>
    <n v="850.2385714285715"/>
    <n v="1558.7707142856498"/>
    <n v="2409.0092857142213"/>
    <n v="3542.6607142857788"/>
    <x v="0"/>
  </r>
  <r>
    <n v="2149"/>
    <n v="250959"/>
    <s v="P"/>
    <s v="Capitalized"/>
    <s v="20Yd Rolloff Boxes"/>
    <m/>
    <m/>
    <n v="2"/>
    <m/>
    <n v="0"/>
    <s v="CAPITAL INDUSTRIES INC"/>
    <m/>
    <s v="CONTAINERS"/>
    <s v="TBA"/>
    <m/>
    <s v="20 YD"/>
    <s v="RO Box"/>
    <d v="2021-04-12T00:00:00"/>
    <d v="2021-04-12T00:00:00"/>
    <s v="2149-21-0007-1"/>
    <n v="1200"/>
    <n v="14050"/>
    <n v="13600"/>
    <n v="14056"/>
    <n v="3494.42"/>
    <n v="10105.58"/>
    <n v="377.76"/>
    <n v="54260"/>
    <n v="94.44"/>
    <s v="P"/>
    <m/>
    <m/>
    <s v=" "/>
    <s v="STL"/>
    <s v="YES"/>
    <n v="0"/>
    <s v="Drop Box"/>
    <x v="7"/>
    <n v="4"/>
    <n v="2021"/>
    <n v="2033"/>
    <n v="2033.3333333333333"/>
    <n v="94.444444444444443"/>
    <n v="1133.3333333333333"/>
    <n v="1133.3333333333333"/>
    <n v="2172.2222222223081"/>
    <n v="3305.5555555556411"/>
    <n v="10294.444444444358"/>
    <x v="0"/>
  </r>
  <r>
    <n v="2149"/>
    <n v="250958"/>
    <s v="P"/>
    <s v="Capitalized"/>
    <s v="2Yd REL Metal Containers"/>
    <m/>
    <m/>
    <n v="40"/>
    <m/>
    <n v="0"/>
    <s v="CAPITAL INDUSTRIES INC"/>
    <m/>
    <s v="CONTAINERS"/>
    <s v="TBA"/>
    <m/>
    <s v="2 YD"/>
    <s v="FEL/REL/SL Metal"/>
    <d v="2021-04-12T00:00:00"/>
    <d v="2021-04-12T00:00:00"/>
    <s v="2149-21-0007-1"/>
    <n v="1200"/>
    <n v="14050"/>
    <n v="27800"/>
    <n v="14056"/>
    <n v="7143.08"/>
    <n v="20656.919999999998"/>
    <n v="772.24"/>
    <n v="54260"/>
    <n v="193.06"/>
    <s v="P"/>
    <m/>
    <m/>
    <s v=" "/>
    <s v="STL"/>
    <s v="YES"/>
    <n v="0"/>
    <s v="Containers"/>
    <x v="8"/>
    <n v="4"/>
    <n v="2021"/>
    <n v="2033"/>
    <n v="2033.3333333333333"/>
    <n v="193.05555555555554"/>
    <n v="2316.6666666666665"/>
    <n v="2316.6666666666665"/>
    <n v="4440.2777777779556"/>
    <n v="6756.9444444446217"/>
    <n v="21043.05555555538"/>
    <x v="0"/>
  </r>
  <r>
    <n v="2149"/>
    <n v="250271"/>
    <s v="P"/>
    <s v="Capitalized"/>
    <s v="65gal MSW Carts"/>
    <m/>
    <m/>
    <n v="112"/>
    <m/>
    <n v="0"/>
    <s v="REHRIG PACIFIC COMPANY IN"/>
    <m/>
    <s v="CONTAINERS"/>
    <s v="TBA"/>
    <m/>
    <m/>
    <m/>
    <d v="2021-03-31T00:00:00"/>
    <d v="2021-03-31T00:00:00"/>
    <s v="2149-21-0008-1"/>
    <n v="700"/>
    <n v="14050"/>
    <n v="5263.03"/>
    <n v="14056"/>
    <n v="2318.2600000000002"/>
    <n v="2944.7699999999995"/>
    <n v="250.64"/>
    <n v="54260"/>
    <n v="62.66"/>
    <s v="P"/>
    <m/>
    <m/>
    <s v=" "/>
    <s v="STL"/>
    <s v="YES"/>
    <n v="0"/>
    <s v="Shared Garbage Carts"/>
    <x v="2"/>
    <n v="3"/>
    <n v="2021"/>
    <n v="2028"/>
    <n v="2028.25"/>
    <n v="62.655119047619046"/>
    <n v="751.86142857142852"/>
    <n v="751.86142857142852"/>
    <n v="1503.7228571428568"/>
    <n v="2255.5842857142852"/>
    <n v="3007.4457142857145"/>
    <x v="0"/>
  </r>
  <r>
    <n v="2149"/>
    <n v="250270"/>
    <s v="P"/>
    <s v="Capitalized"/>
    <s v="95gal MSW Carts"/>
    <m/>
    <m/>
    <n v="200"/>
    <m/>
    <n v="0"/>
    <s v="REHRIG PACIFIC COMPANY IN"/>
    <m/>
    <s v="CONTAINERS"/>
    <s v="TBA"/>
    <m/>
    <m/>
    <m/>
    <d v="2021-03-31T00:00:00"/>
    <d v="2021-03-31T00:00:00"/>
    <s v="2149-21-0008-1"/>
    <n v="700"/>
    <n v="14050"/>
    <n v="10433.36"/>
    <n v="14056"/>
    <n v="4595.66"/>
    <n v="5837.7000000000007"/>
    <n v="496.84"/>
    <n v="54260"/>
    <n v="124.21"/>
    <s v="P"/>
    <m/>
    <m/>
    <s v=" "/>
    <s v="STL"/>
    <s v="YES"/>
    <n v="0"/>
    <s v="Shared Garbage Carts"/>
    <x v="2"/>
    <n v="3"/>
    <n v="2021"/>
    <n v="2028"/>
    <n v="2028.25"/>
    <n v="124.20666666666666"/>
    <n v="1490.48"/>
    <n v="1490.48"/>
    <n v="2980.9600000000009"/>
    <n v="4471.4400000000005"/>
    <n v="5961.92"/>
    <x v="0"/>
  </r>
  <r>
    <n v="2149"/>
    <n v="250269"/>
    <s v="P"/>
    <s v="Capitalized"/>
    <s v="95gal Recycle Carts"/>
    <m/>
    <m/>
    <n v="224"/>
    <m/>
    <n v="0"/>
    <s v="REHRIG PACIFIC COMPANY IN"/>
    <m/>
    <s v="CONTAINERS"/>
    <s v="TBA"/>
    <m/>
    <m/>
    <m/>
    <d v="2021-03-31T00:00:00"/>
    <d v="2021-03-31T00:00:00"/>
    <s v="2149-21-0008-1"/>
    <n v="700"/>
    <n v="14050"/>
    <n v="11685.36"/>
    <n v="14056"/>
    <n v="5147.08"/>
    <n v="6538.2800000000007"/>
    <n v="556.44000000000005"/>
    <n v="54260"/>
    <n v="139.11000000000001"/>
    <s v="P"/>
    <m/>
    <m/>
    <s v=" "/>
    <s v="STL"/>
    <s v="YES"/>
    <n v="0"/>
    <s v="Carts - Recycling"/>
    <x v="18"/>
    <n v="3"/>
    <n v="2021"/>
    <n v="2028"/>
    <n v="2028.25"/>
    <n v="139.11142857142858"/>
    <n v="1669.3371428571429"/>
    <n v="1669.3371428571429"/>
    <n v="3338.6742857142854"/>
    <n v="5008.011428571428"/>
    <n v="6677.3485714285725"/>
    <x v="0"/>
  </r>
  <r>
    <n v="2149"/>
    <n v="249921"/>
    <s v="P"/>
    <s v="Capitalized"/>
    <s v="Storage Yard - Fencing"/>
    <m/>
    <m/>
    <n v="1"/>
    <m/>
    <n v="0"/>
    <m/>
    <m/>
    <s v="LAND IMPROVEMENTS"/>
    <s v="TBA"/>
    <m/>
    <m/>
    <m/>
    <d v="2021-04-13T00:00:00"/>
    <d v="2021-04-13T00:00:00"/>
    <s v="2149-21-0001"/>
    <n v="1000"/>
    <n v="14010"/>
    <n v="23360.05"/>
    <n v="14016"/>
    <n v="7202.7"/>
    <n v="16157.349999999999"/>
    <n v="778.68"/>
    <n v="57260"/>
    <n v="194.67"/>
    <s v="P"/>
    <m/>
    <m/>
    <s v=" "/>
    <s v="STL"/>
    <s v="YES"/>
    <n v="0"/>
    <s v="Shop Equipment"/>
    <x v="4"/>
    <n v="4"/>
    <n v="2021"/>
    <n v="2031"/>
    <n v="2031.3333333333333"/>
    <n v="194.66708333333335"/>
    <n v="2336.0050000000001"/>
    <n v="2336.0050000000001"/>
    <n v="4477.3429166668429"/>
    <n v="6813.347916666843"/>
    <n v="16546.702083333155"/>
    <x v="0"/>
  </r>
  <r>
    <n v="2149"/>
    <n v="247659"/>
    <s v="P"/>
    <s v="Capitalized"/>
    <s v="DriveCam Upgrades -Qt.2"/>
    <m/>
    <m/>
    <n v="2"/>
    <m/>
    <n v="0"/>
    <s v="Lytx"/>
    <m/>
    <s v="SHOP EQUIPMENT"/>
    <s v="TBA"/>
    <m/>
    <m/>
    <m/>
    <d v="2021-01-28T00:00:00"/>
    <d v="2021-01-28T00:00:00"/>
    <s v="2149-21-0006-1"/>
    <n v="500"/>
    <n v="14070"/>
    <n v="737.8"/>
    <n v="14076"/>
    <n v="479.58"/>
    <n v="258.21999999999997"/>
    <n v="49.2"/>
    <n v="51260"/>
    <n v="12.3"/>
    <s v="P"/>
    <m/>
    <m/>
    <s v=" "/>
    <s v="STL"/>
    <s v="YES"/>
    <n v="0"/>
    <s v="Shop Equipment"/>
    <x v="4"/>
    <n v="1"/>
    <n v="2021"/>
    <n v="2026"/>
    <n v="2026.0833333333333"/>
    <n v="12.296666666666667"/>
    <n v="147.56"/>
    <n v="147.56"/>
    <n v="319.71333333334445"/>
    <n v="467.27333333334445"/>
    <n v="270.5266666666555"/>
    <x v="0"/>
  </r>
  <r>
    <n v="2149"/>
    <n v="243665"/>
    <s v="P"/>
    <s v="Capitalized"/>
    <s v="2021 Peterbilt ASL Truck"/>
    <m/>
    <m/>
    <n v="1"/>
    <s v="3BPDLK0X6MF110110"/>
    <n v="2021"/>
    <s v="Peterbilt"/>
    <s v="Labrie"/>
    <s v="TRUCKS AND TRAILERS"/>
    <s v="TBA"/>
    <s v="Automated Side Loader"/>
    <m/>
    <m/>
    <d v="2020-12-09T00:00:00"/>
    <d v="2020-12-09T00:00:00"/>
    <s v="2149-20-0012"/>
    <n v="1000"/>
    <n v="14040"/>
    <n v="365317.55"/>
    <n v="14046"/>
    <n v="124816.83"/>
    <n v="240500.71999999997"/>
    <n v="12177.24"/>
    <n v="51260"/>
    <n v="3044.31"/>
    <s v="P"/>
    <m/>
    <n v="48"/>
    <s v=" "/>
    <s v="STL"/>
    <s v="YES"/>
    <s v="TBD"/>
    <n v="0"/>
    <x v="20"/>
    <m/>
    <m/>
    <m/>
    <m/>
    <m/>
    <m/>
    <m/>
    <m/>
    <m/>
    <m/>
    <x v="1"/>
  </r>
  <r>
    <n v="2149"/>
    <n v="243342"/>
    <s v="P"/>
    <s v="Capitalized"/>
    <s v="65Gal MSW Carts"/>
    <m/>
    <m/>
    <n v="144"/>
    <m/>
    <n v="0"/>
    <s v="REHRIG PACIFIC COMPANY IN"/>
    <m/>
    <s v="CONTAINERS"/>
    <s v="TBA"/>
    <m/>
    <m/>
    <m/>
    <d v="2020-11-25T00:00:00"/>
    <d v="2020-11-25T00:00:00"/>
    <s v="2149-20-0020-1"/>
    <n v="700"/>
    <n v="14050"/>
    <n v="5709.01"/>
    <n v="14056"/>
    <n v="2786.52"/>
    <n v="2922.4900000000002"/>
    <n v="271.83999999999997"/>
    <n v="54260"/>
    <n v="67.95999999999999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43341"/>
    <s v="P"/>
    <s v="Capitalized"/>
    <s v="95Gal MSW Carts"/>
    <m/>
    <m/>
    <n v="120"/>
    <m/>
    <n v="0"/>
    <s v="REHRIG PACIFIC COMPANY IN"/>
    <m/>
    <s v="CONTAINERS"/>
    <s v="TBA"/>
    <m/>
    <m/>
    <m/>
    <d v="2020-11-25T00:00:00"/>
    <d v="2020-11-25T00:00:00"/>
    <s v="2149-20-0020-1"/>
    <n v="700"/>
    <n v="14050"/>
    <n v="5408.51"/>
    <n v="14056"/>
    <n v="2639.9"/>
    <n v="2768.61"/>
    <n v="257.56"/>
    <n v="54260"/>
    <n v="64.3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43340"/>
    <s v="P"/>
    <s v="Capitalized"/>
    <s v="95Gal Recycle Carts"/>
    <m/>
    <m/>
    <n v="426"/>
    <m/>
    <n v="0"/>
    <s v="REHRIG PACIFIC COMPANY IN"/>
    <m/>
    <s v="CONTAINERS"/>
    <s v="TBA"/>
    <m/>
    <m/>
    <m/>
    <d v="2020-11-25T00:00:00"/>
    <d v="2020-11-25T00:00:00"/>
    <s v="2149-20-0020-1"/>
    <n v="700"/>
    <n v="14050"/>
    <n v="19200.2"/>
    <n v="14056"/>
    <n v="9371.52"/>
    <n v="9828.68"/>
    <n v="914.28"/>
    <n v="54260"/>
    <n v="228.5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42794"/>
    <s v="P"/>
    <s v="Capitalized"/>
    <s v="Land Improvement - Storage Yard"/>
    <m/>
    <m/>
    <n v="1"/>
    <m/>
    <n v="0"/>
    <m/>
    <m/>
    <s v="LAND IMPROVEMENTS"/>
    <s v="TBA"/>
    <m/>
    <m/>
    <m/>
    <d v="2020-12-31T00:00:00"/>
    <d v="2020-12-31T00:00:00"/>
    <s v="2149-20-0014"/>
    <n v="1000"/>
    <n v="14010"/>
    <n v="74833.509999999995"/>
    <n v="14016"/>
    <n v="24944.49"/>
    <n v="49889.01999999999"/>
    <n v="2494.44"/>
    <n v="57260"/>
    <n v="623.6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40612"/>
    <s v="P"/>
    <s v="Capitalized"/>
    <s v="(35) SF300 DriveCam Event Recorders"/>
    <m/>
    <m/>
    <n v="35"/>
    <m/>
    <n v="0"/>
    <s v="Lytx"/>
    <m/>
    <s v="SHOP EQUIPMENT"/>
    <s v="TBA"/>
    <m/>
    <m/>
    <m/>
    <d v="2020-09-30T00:00:00"/>
    <d v="2020-09-30T00:00:00"/>
    <s v="2149-20-0019-1"/>
    <n v="500"/>
    <n v="14070"/>
    <n v="29610.2"/>
    <n v="14076"/>
    <n v="21220.63"/>
    <n v="8389.57"/>
    <n v="1974"/>
    <n v="51260"/>
    <n v="493.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40179"/>
    <s v="P"/>
    <s v="Capitalized"/>
    <s v="2020 Peterbilt ASL Truck"/>
    <m/>
    <m/>
    <n v="1"/>
    <s v="3BPDLK0X6LF108419"/>
    <n v="2020"/>
    <s v="Peterbilt"/>
    <s v="Labrie"/>
    <s v="TRUCKS AND TRAILERS"/>
    <s v="TBA"/>
    <s v="Automated Side Loader"/>
    <m/>
    <m/>
    <d v="2020-08-31T00:00:00"/>
    <d v="2020-08-31T00:00:00"/>
    <s v="2149-20-0013"/>
    <n v="1000"/>
    <n v="14040"/>
    <n v="365750.47"/>
    <n v="14046"/>
    <n v="134108.51"/>
    <n v="231641.95999999996"/>
    <n v="12191.68"/>
    <n v="51260"/>
    <n v="3047.92"/>
    <s v="P"/>
    <m/>
    <n v="47"/>
    <s v=" "/>
    <s v="STL"/>
    <s v="YES"/>
    <s v="TBD"/>
    <n v="0"/>
    <x v="20"/>
    <m/>
    <m/>
    <m/>
    <m/>
    <m/>
    <m/>
    <m/>
    <m/>
    <m/>
    <m/>
    <x v="1"/>
  </r>
  <r>
    <n v="2149"/>
    <n v="239453"/>
    <n v="236165"/>
    <s v="Capitalized"/>
    <s v="Radio"/>
    <m/>
    <m/>
    <n v="1"/>
    <m/>
    <n v="2020"/>
    <s v="N/A"/>
    <s v="McNeilus"/>
    <s v="TRUCKS AND TRAILERS"/>
    <s v="TBA"/>
    <s v="Non-Rolling Stock"/>
    <m/>
    <m/>
    <d v="2020-08-31T00:00:00"/>
    <d v="2020-08-31T00:00:00"/>
    <s v="2149-20-0015-1"/>
    <n v="500"/>
    <n v="14040"/>
    <n v="706.71"/>
    <n v="14046"/>
    <n v="518.25"/>
    <n v="188.46000000000004"/>
    <n v="47.12"/>
    <n v="51260"/>
    <n v="11.7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8422"/>
    <s v="P"/>
    <s v="Capitalized"/>
    <s v="65gal MSW Carts"/>
    <m/>
    <m/>
    <n v="151"/>
    <m/>
    <n v="0"/>
    <s v="REHRIG PACIFIC COMPANY IN"/>
    <m/>
    <s v="CONTAINERS"/>
    <s v="TBA"/>
    <m/>
    <m/>
    <m/>
    <d v="2020-09-29T00:00:00"/>
    <d v="2020-09-29T00:00:00"/>
    <s v="2149-20-0018-1"/>
    <n v="700"/>
    <n v="14050"/>
    <n v="5615.79"/>
    <n v="14056"/>
    <n v="2874.74"/>
    <n v="2741.05"/>
    <n v="267.39999999999998"/>
    <n v="54260"/>
    <n v="66.84999999999999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8421"/>
    <s v="P"/>
    <s v="Capitalized"/>
    <s v="95gal MSW Carts"/>
    <m/>
    <m/>
    <n v="151"/>
    <m/>
    <n v="0"/>
    <s v="REHRIG PACIFIC COMPANY IN"/>
    <m/>
    <s v="CONTAINERS"/>
    <s v="TBA"/>
    <m/>
    <m/>
    <m/>
    <d v="2020-09-29T00:00:00"/>
    <d v="2020-09-29T00:00:00"/>
    <s v="2149-20-0018-1"/>
    <n v="700"/>
    <n v="14050"/>
    <n v="6461.39"/>
    <n v="14056"/>
    <n v="3307.62"/>
    <n v="3153.7700000000004"/>
    <n v="307.68"/>
    <n v="54260"/>
    <n v="76.9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8420"/>
    <s v="P"/>
    <s v="Capitalized"/>
    <s v="95gal Recycle Carts"/>
    <m/>
    <m/>
    <n v="350"/>
    <m/>
    <n v="0"/>
    <s v="REHRIG PACIFIC COMPANY IN"/>
    <m/>
    <s v="CONTAINERS"/>
    <s v="TBA"/>
    <m/>
    <m/>
    <m/>
    <d v="2020-09-29T00:00:00"/>
    <d v="2020-09-29T00:00:00"/>
    <s v="2149-20-0018-1"/>
    <n v="700"/>
    <n v="14050"/>
    <n v="14976.73"/>
    <n v="14056"/>
    <n v="7666.63"/>
    <n v="7310.0999999999995"/>
    <n v="713.16"/>
    <n v="54260"/>
    <n v="178.2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7932"/>
    <s v="P"/>
    <s v="Capitalized"/>
    <s v="1 Yd Containers"/>
    <m/>
    <m/>
    <n v="1"/>
    <m/>
    <n v="0"/>
    <m/>
    <m/>
    <s v="CONTAINERS"/>
    <s v="TBA"/>
    <m/>
    <s v="1 YD"/>
    <s v="FEL/REL/SL Metal"/>
    <d v="2008-11-03T00:00:00"/>
    <d v="2008-11-03T00:00:00"/>
    <m/>
    <n v="700"/>
    <n v="14050"/>
    <n v="624.67999999999995"/>
    <n v="14056"/>
    <n v="624.67999999999995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237931"/>
    <s v="P"/>
    <s v="Capitalized"/>
    <s v="30 Yard R/O Containers"/>
    <m/>
    <m/>
    <n v="1"/>
    <m/>
    <n v="0"/>
    <m/>
    <m/>
    <s v="CONTAINERS"/>
    <s v="TBA"/>
    <m/>
    <s v="30 YD"/>
    <s v="RO Box"/>
    <d v="2008-11-03T00:00:00"/>
    <d v="2008-11-03T00:00:00"/>
    <m/>
    <n v="700"/>
    <n v="14050"/>
    <n v="1700"/>
    <n v="14056"/>
    <n v="1700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237930"/>
    <s v="P"/>
    <s v="Capitalized"/>
    <s v="10 Yard R/O Containers"/>
    <m/>
    <m/>
    <n v="1"/>
    <m/>
    <n v="0"/>
    <m/>
    <m/>
    <s v="CONTAINERS"/>
    <s v="TBA"/>
    <m/>
    <s v="10 YD"/>
    <s v="RO Box"/>
    <d v="2008-11-03T00:00:00"/>
    <d v="2008-11-03T00:00:00"/>
    <m/>
    <n v="700"/>
    <n v="14050"/>
    <n v="1092.8499999999999"/>
    <n v="14056"/>
    <n v="1092.8499999999999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237929"/>
    <s v="P"/>
    <s v="Capitalized"/>
    <s v="20 Yard R/O Containers"/>
    <m/>
    <m/>
    <n v="7"/>
    <m/>
    <n v="0"/>
    <m/>
    <m/>
    <s v="CONTAINERS"/>
    <s v="TBA"/>
    <m/>
    <s v="20 YD"/>
    <s v="RO Box"/>
    <d v="2008-11-03T00:00:00"/>
    <d v="2008-11-03T00:00:00"/>
    <m/>
    <n v="700"/>
    <n v="14050"/>
    <n v="9100"/>
    <n v="14056"/>
    <n v="9100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236165"/>
    <s v="P"/>
    <s v="Capitalized"/>
    <s v="2020 Peterbilt REL Truck"/>
    <m/>
    <m/>
    <n v="1"/>
    <s v="2NP3LJ0X8LM692581"/>
    <n v="2020"/>
    <s v="Peterblit"/>
    <s v="McNeilus"/>
    <s v="TRUCKS AND TRAILERS"/>
    <s v="TBA"/>
    <s v="Rear Loader"/>
    <m/>
    <m/>
    <d v="2020-08-31T00:00:00"/>
    <d v="2020-08-31T00:00:00"/>
    <s v="2149-20-0015"/>
    <n v="1000"/>
    <n v="14040"/>
    <n v="237305.77"/>
    <n v="14046"/>
    <n v="87012.13"/>
    <n v="150293.63999999998"/>
    <n v="7910.2"/>
    <n v="51260"/>
    <n v="1977.55"/>
    <s v="P"/>
    <m/>
    <n v="21"/>
    <s v=" "/>
    <s v="STL"/>
    <s v="YES"/>
    <s v="TBD"/>
    <n v="0"/>
    <x v="20"/>
    <m/>
    <m/>
    <m/>
    <m/>
    <m/>
    <m/>
    <m/>
    <m/>
    <m/>
    <m/>
    <x v="1"/>
  </r>
  <r>
    <n v="2149"/>
    <n v="236069"/>
    <s v="P"/>
    <s v="Capitalized"/>
    <s v="2YD REL Metal Containers"/>
    <m/>
    <m/>
    <n v="30"/>
    <m/>
    <n v="0"/>
    <s v="CAPITAL INDUSTRIES INC"/>
    <m/>
    <s v="CONTAINERS"/>
    <s v="TBA"/>
    <m/>
    <s v="2 YD"/>
    <s v="FEL/REL/SL Metal"/>
    <d v="2020-07-30T00:00:00"/>
    <d v="2020-07-30T00:00:00"/>
    <s v="2149-20-0017-1"/>
    <n v="1200"/>
    <n v="14050"/>
    <n v="16950"/>
    <n v="14056"/>
    <n v="5296.88"/>
    <n v="11653.119999999999"/>
    <n v="470.84"/>
    <n v="54260"/>
    <n v="117.7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4067"/>
    <s v="P"/>
    <s v="Capitalized"/>
    <s v="96 Gal MSW Carts"/>
    <m/>
    <m/>
    <n v="312"/>
    <m/>
    <n v="0"/>
    <s v="TOTER LLC"/>
    <m/>
    <s v="CONTAINERS"/>
    <s v="TBA"/>
    <m/>
    <m/>
    <m/>
    <d v="2020-06-12T00:00:00"/>
    <d v="2020-06-12T00:00:00"/>
    <s v="2149-20-0016-1"/>
    <n v="700"/>
    <n v="14050"/>
    <n v="12863.76"/>
    <n v="14056"/>
    <n v="7197.58"/>
    <n v="5666.18"/>
    <n v="612.55999999999995"/>
    <n v="54260"/>
    <n v="153.13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34066"/>
    <s v="P"/>
    <s v="Capitalized"/>
    <s v="96 Gal Recy Carts"/>
    <m/>
    <m/>
    <n v="312"/>
    <m/>
    <n v="0"/>
    <s v="TOTER LLC"/>
    <m/>
    <s v="CONTAINERS"/>
    <s v="TBA"/>
    <m/>
    <m/>
    <m/>
    <d v="2020-06-12T00:00:00"/>
    <d v="2020-06-12T00:00:00"/>
    <s v="2149-20-0016-1"/>
    <n v="700"/>
    <n v="14050"/>
    <n v="12863.76"/>
    <n v="14056"/>
    <n v="7197.58"/>
    <n v="5666.18"/>
    <n v="612.55999999999995"/>
    <n v="54260"/>
    <n v="153.13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8793"/>
    <s v="P"/>
    <s v="Capitalized"/>
    <s v="2000 Type HT W-F Trailer"/>
    <m/>
    <m/>
    <n v="1"/>
    <s v="2K9WF1Z40YH035057"/>
    <n v="2000"/>
    <s v="TITEN"/>
    <s v="Other"/>
    <s v="TRUCKS AND TRAILERS"/>
    <s v="TBA"/>
    <s v="Other Trailer"/>
    <m/>
    <m/>
    <d v="2008-11-03T00:00:00"/>
    <d v="2008-11-03T00:00:00"/>
    <m/>
    <n v="300"/>
    <n v="14040"/>
    <n v="18000"/>
    <n v="14046"/>
    <n v="18000"/>
    <n v="0"/>
    <n v="0"/>
    <n v="51260"/>
    <n v="0"/>
    <s v="A"/>
    <s v="LeMay Enterprises"/>
    <n v="8025"/>
    <s v=" "/>
    <s v="STL"/>
    <s v="YES"/>
    <s v="TBD"/>
    <n v="0"/>
    <x v="20"/>
    <m/>
    <m/>
    <m/>
    <m/>
    <m/>
    <m/>
    <m/>
    <m/>
    <m/>
    <m/>
    <x v="1"/>
  </r>
  <r>
    <n v="2149"/>
    <n v="225949"/>
    <n v="225230"/>
    <s v="Capitalized"/>
    <s v="New ASL Peterbilt / Labrie (31 yd)"/>
    <m/>
    <m/>
    <n v="1"/>
    <m/>
    <n v="0"/>
    <s v="WA DOL"/>
    <m/>
    <s v="TRUCKS AND TRAILERS"/>
    <s v="TBA"/>
    <s v="Non-Rolling Stock"/>
    <m/>
    <m/>
    <d v="2019-12-20T00:00:00"/>
    <d v="2019-12-20T00:00:00"/>
    <s v="2149-19-0001-1"/>
    <n v="1000"/>
    <n v="14040"/>
    <n v="1088.3699999999999"/>
    <n v="14046"/>
    <n v="471.64"/>
    <n v="616.7299999999999"/>
    <n v="36.28"/>
    <n v="51260"/>
    <n v="9.0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5230"/>
    <s v="P"/>
    <s v="Capitalized"/>
    <s v="2020 Peterbilt ASL Truck"/>
    <m/>
    <m/>
    <n v="1"/>
    <s v="3BPDLK0X0LF107315"/>
    <n v="2020"/>
    <s v="Peterbilt"/>
    <s v="Labrie"/>
    <s v="TRUCKS AND TRAILERS"/>
    <s v="TBA"/>
    <s v="Automated Side Loader"/>
    <m/>
    <m/>
    <d v="2019-12-20T00:00:00"/>
    <d v="2019-12-20T00:00:00"/>
    <s v="2149-19-0001"/>
    <n v="1000"/>
    <n v="14040"/>
    <n v="358392.25"/>
    <n v="14046"/>
    <n v="155303.32"/>
    <n v="203088.93"/>
    <n v="11946.4"/>
    <n v="51260"/>
    <n v="2986.6"/>
    <s v="P"/>
    <m/>
    <n v="46"/>
    <s v=" "/>
    <s v="STL"/>
    <s v="YES"/>
    <s v="TBD"/>
    <n v="0"/>
    <x v="20"/>
    <m/>
    <m/>
    <m/>
    <m/>
    <m/>
    <m/>
    <m/>
    <m/>
    <m/>
    <m/>
    <x v="1"/>
  </r>
  <r>
    <n v="2149"/>
    <n v="223309"/>
    <s v="P"/>
    <s v="Capitalized"/>
    <s v="40 YARD RO Containers"/>
    <m/>
    <m/>
    <n v="7"/>
    <m/>
    <n v="0"/>
    <m/>
    <m/>
    <s v="CONTAINERS"/>
    <s v="TBA"/>
    <m/>
    <s v="40 YD"/>
    <s v="RO Box"/>
    <d v="2019-11-01T00:00:00"/>
    <d v="2019-11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23180"/>
    <s v="P"/>
    <s v="Capitalized"/>
    <s v="22 YARD RO Containers"/>
    <m/>
    <m/>
    <n v="7"/>
    <m/>
    <n v="0"/>
    <m/>
    <m/>
    <s v="CONTAINERS"/>
    <s v="TBA"/>
    <m/>
    <s v="22 YD"/>
    <s v="Storage Container"/>
    <d v="2019-11-01T00:00:00"/>
    <d v="2019-11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23149"/>
    <s v="P"/>
    <s v="Capitalized"/>
    <s v="20 YARD RO Containers"/>
    <m/>
    <m/>
    <n v="22"/>
    <m/>
    <n v="0"/>
    <m/>
    <m/>
    <s v="CONTAINERS"/>
    <s v="TBA"/>
    <m/>
    <s v="20 YD"/>
    <s v="RO Box"/>
    <d v="2019-11-01T00:00:00"/>
    <d v="2019-11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23090"/>
    <s v="P"/>
    <s v="Capitalized"/>
    <s v="10 YARD RO Containers"/>
    <m/>
    <m/>
    <n v="6"/>
    <m/>
    <n v="0"/>
    <m/>
    <m/>
    <s v="CONTAINERS"/>
    <s v="TBA"/>
    <m/>
    <s v="10 YD"/>
    <s v="RO Box"/>
    <d v="2019-11-01T00:00:00"/>
    <d v="2019-11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23089"/>
    <s v="P"/>
    <s v="Capitalized"/>
    <s v="10 YARD RO"/>
    <m/>
    <m/>
    <n v="2"/>
    <m/>
    <n v="0"/>
    <m/>
    <m/>
    <s v="CONTAINERS"/>
    <s v="TBA"/>
    <m/>
    <s v="10 YD"/>
    <s v="RO Box"/>
    <d v="2019-11-01T00:00:00"/>
    <d v="2019-11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22641"/>
    <s v="P"/>
    <s v="Capitalized"/>
    <s v="64gal Recy Carts"/>
    <m/>
    <m/>
    <n v="288"/>
    <m/>
    <n v="0"/>
    <s v="TOTER LLC"/>
    <m/>
    <s v="CONTAINERS"/>
    <s v="TBA"/>
    <m/>
    <m/>
    <m/>
    <d v="2019-10-25T00:00:00"/>
    <d v="2019-10-25T00:00:00"/>
    <s v="2149-19-0013-1"/>
    <n v="700"/>
    <n v="14050"/>
    <n v="12739.9"/>
    <n v="14056"/>
    <n v="8189.97"/>
    <n v="4549.9299999999994"/>
    <n v="606.67999999999995"/>
    <n v="54260"/>
    <n v="151.66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2640"/>
    <s v="P"/>
    <s v="Capitalized"/>
    <s v="64gal MSW Carts"/>
    <m/>
    <m/>
    <n v="288"/>
    <m/>
    <n v="0"/>
    <s v="TOTER LLC"/>
    <m/>
    <s v="CONTAINERS"/>
    <s v="TBA"/>
    <m/>
    <m/>
    <m/>
    <d v="2019-10-25T00:00:00"/>
    <d v="2019-10-25T00:00:00"/>
    <s v="2149-19-0013-1"/>
    <n v="700"/>
    <n v="14050"/>
    <n v="12739.9"/>
    <n v="14056"/>
    <n v="8189.97"/>
    <n v="4549.9299999999994"/>
    <n v="606.67999999999995"/>
    <n v="54260"/>
    <n v="151.66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2639"/>
    <s v="P"/>
    <s v="Capitalized"/>
    <s v="96gal Recy Carts"/>
    <m/>
    <m/>
    <n v="100"/>
    <m/>
    <n v="0"/>
    <s v="TOTER LLC"/>
    <m/>
    <s v="CONTAINERS"/>
    <s v="TBA"/>
    <m/>
    <m/>
    <m/>
    <d v="2019-10-25T00:00:00"/>
    <d v="2019-10-25T00:00:00"/>
    <s v="2149-19-0013-1"/>
    <n v="700"/>
    <n v="14050"/>
    <n v="4823.57"/>
    <n v="14056"/>
    <n v="3100.81"/>
    <n v="1722.7599999999998"/>
    <n v="229.68"/>
    <n v="54260"/>
    <n v="57.4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2638"/>
    <s v="P"/>
    <s v="Capitalized"/>
    <s v="48gal MSW Carts"/>
    <m/>
    <m/>
    <n v="100"/>
    <m/>
    <n v="0"/>
    <s v="TOTER LLC"/>
    <m/>
    <s v="CONTAINERS"/>
    <s v="TBA"/>
    <m/>
    <m/>
    <m/>
    <d v="2019-10-25T00:00:00"/>
    <d v="2019-10-25T00:00:00"/>
    <s v="2149-19-0013-1"/>
    <n v="700"/>
    <n v="14050"/>
    <n v="4323.58"/>
    <n v="14056"/>
    <n v="2779.46"/>
    <n v="1544.12"/>
    <n v="205.88"/>
    <n v="54260"/>
    <n v="51.4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2159"/>
    <n v="219750"/>
    <s v="Capitalized"/>
    <s v="2019 Peterbilt ASL Truck- Body"/>
    <m/>
    <m/>
    <n v="1"/>
    <m/>
    <n v="2019"/>
    <s v="WA DOL"/>
    <m/>
    <s v="TRUCKS AND TRAILERS"/>
    <s v="TBA"/>
    <s v="Non-Rolling Stock"/>
    <m/>
    <m/>
    <d v="2019-09-18T00:00:00"/>
    <d v="2019-09-18T00:00:00"/>
    <s v="2149-19-0002-1"/>
    <n v="1000"/>
    <n v="14040"/>
    <n v="1251.45"/>
    <n v="14046"/>
    <n v="573.61"/>
    <n v="677.84"/>
    <n v="41.72"/>
    <n v="51260"/>
    <n v="10.4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2118"/>
    <s v="P"/>
    <s v="Capitalized"/>
    <s v="1990 John Deer Gator type S"/>
    <m/>
    <m/>
    <n v="1"/>
    <s v="W00622X005658"/>
    <n v="1990"/>
    <s v="John Deere"/>
    <s v="John Deere"/>
    <s v="TRUCKS AND TRAILERS"/>
    <s v="TBA"/>
    <s v="Farm Tractor"/>
    <m/>
    <m/>
    <d v="2008-11-03T00:00:00"/>
    <d v="2008-11-03T00:00:00"/>
    <m/>
    <n v="300"/>
    <n v="14040"/>
    <n v="2500"/>
    <n v="14046"/>
    <n v="2500"/>
    <n v="0"/>
    <n v="0"/>
    <n v="51260"/>
    <n v="0"/>
    <s v="A"/>
    <s v="LeMay Enterprises"/>
    <n v="9979"/>
    <s v=" "/>
    <s v="STL"/>
    <s v="YES"/>
    <s v="TBD"/>
    <n v="0"/>
    <x v="20"/>
    <m/>
    <m/>
    <m/>
    <m/>
    <m/>
    <m/>
    <m/>
    <m/>
    <m/>
    <m/>
    <x v="1"/>
  </r>
  <r>
    <n v="2149"/>
    <n v="221707"/>
    <s v="P"/>
    <s v="Capitalized"/>
    <s v="40yd Metal Containers"/>
    <m/>
    <m/>
    <n v="2"/>
    <m/>
    <n v="0"/>
    <s v="WASTEQUIP LLC"/>
    <m/>
    <s v="CONTAINERS"/>
    <s v="TBA"/>
    <m/>
    <s v="40 YD"/>
    <s v="RO Box"/>
    <d v="2019-10-01T00:00:00"/>
    <d v="2019-10-01T00:00:00"/>
    <s v="2149-19-0012-1"/>
    <n v="1200"/>
    <n v="14050"/>
    <n v="9943.5"/>
    <n v="14056"/>
    <n v="3797.88"/>
    <n v="6145.62"/>
    <n v="276.2"/>
    <n v="54260"/>
    <n v="69.0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1706"/>
    <s v="P"/>
    <s v="Capitalized"/>
    <s v="20yd Metal Containers"/>
    <m/>
    <m/>
    <n v="3"/>
    <m/>
    <n v="0"/>
    <s v="WASTEQUIP LLC"/>
    <m/>
    <s v="CONTAINERS"/>
    <s v="TBA"/>
    <m/>
    <s v="20 YD"/>
    <s v="RO Box"/>
    <d v="2019-10-01T00:00:00"/>
    <d v="2019-10-01T00:00:00"/>
    <s v="2149-19-0012-1"/>
    <n v="1200"/>
    <n v="14050"/>
    <n v="11468.25"/>
    <n v="14056"/>
    <n v="4380.24"/>
    <n v="7088.01"/>
    <n v="318.56"/>
    <n v="54260"/>
    <n v="79.6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1705"/>
    <s v="P"/>
    <s v="Capitalized"/>
    <s v="40yd Metal Containers"/>
    <m/>
    <m/>
    <n v="1"/>
    <m/>
    <n v="0"/>
    <s v="WASTEQUIP LLC"/>
    <m/>
    <s v="CONTAINERS"/>
    <s v="TBA"/>
    <m/>
    <s v="40 YD"/>
    <s v="RO Box"/>
    <d v="2019-10-01T00:00:00"/>
    <d v="2019-10-01T00:00:00"/>
    <s v="2149-19-0012-1"/>
    <n v="1200"/>
    <n v="14050"/>
    <n v="4971.75"/>
    <n v="14056"/>
    <n v="1898.94"/>
    <n v="3072.81"/>
    <n v="138.12"/>
    <n v="54260"/>
    <n v="34.5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1704"/>
    <s v="P"/>
    <s v="Capitalized"/>
    <s v="40yd Metal Containers"/>
    <m/>
    <m/>
    <n v="2"/>
    <m/>
    <n v="0"/>
    <s v="WASTEQUIP LLC"/>
    <m/>
    <s v="CONTAINERS"/>
    <s v="TBA"/>
    <m/>
    <s v="40 YD"/>
    <s v="RO Box"/>
    <d v="2019-10-01T00:00:00"/>
    <d v="2019-10-01T00:00:00"/>
    <s v="2149-19-0012-1"/>
    <n v="1200"/>
    <n v="14050"/>
    <n v="9943.5"/>
    <n v="14056"/>
    <n v="3797.88"/>
    <n v="6145.62"/>
    <n v="276.2"/>
    <n v="54260"/>
    <n v="69.0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1703"/>
    <s v="P"/>
    <s v="Capitalized"/>
    <s v="40yd RO Boxes"/>
    <m/>
    <m/>
    <n v="3"/>
    <m/>
    <n v="0"/>
    <s v="ENVIRONMENTAL METAL WORKS"/>
    <m/>
    <s v="CONTAINERS"/>
    <s v="TBA"/>
    <m/>
    <s v="40 YD"/>
    <s v="RO Box"/>
    <d v="2019-10-14T00:00:00"/>
    <d v="2019-10-14T00:00:00"/>
    <s v="2149-19-0010-1"/>
    <n v="1200"/>
    <n v="14050"/>
    <n v="16171.7"/>
    <n v="14056"/>
    <n v="6176.67"/>
    <n v="9995.0300000000007"/>
    <n v="449.2"/>
    <n v="54260"/>
    <n v="112.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1702"/>
    <s v="P"/>
    <s v="Capitalized"/>
    <s v="20yd RO Boxes"/>
    <m/>
    <m/>
    <n v="6"/>
    <m/>
    <n v="0"/>
    <s v="ENVIRONMENTAL METAL WORKS"/>
    <m/>
    <s v="CONTAINERS"/>
    <s v="TBA"/>
    <m/>
    <s v="20 YD"/>
    <s v="RO Box"/>
    <d v="2019-10-14T00:00:00"/>
    <d v="2019-10-14T00:00:00"/>
    <s v="2149-19-0010-1"/>
    <n v="1200"/>
    <n v="14050"/>
    <n v="26752.65"/>
    <n v="14056"/>
    <n v="10218.030000000001"/>
    <n v="16534.620000000003"/>
    <n v="743.12"/>
    <n v="54260"/>
    <n v="185.7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20354"/>
    <s v="P"/>
    <s v="Capitalized"/>
    <s v="300 Gal MSW Containers"/>
    <m/>
    <m/>
    <n v="86"/>
    <m/>
    <n v="0"/>
    <s v="CITY OF SOUTH BEND"/>
    <m/>
    <s v="CONTAINERS"/>
    <s v="TBA"/>
    <m/>
    <m/>
    <m/>
    <d v="2019-01-28T00:00:00"/>
    <d v="2019-01-28T00:00:00"/>
    <s v="2186-19-0013-1"/>
    <n v="700"/>
    <n v="14050"/>
    <n v="37416.01"/>
    <n v="14056"/>
    <n v="28062.04"/>
    <n v="9353.9700000000012"/>
    <n v="1781.72"/>
    <n v="54260"/>
    <n v="445.4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9750"/>
    <s v="P"/>
    <s v="Capitalized"/>
    <s v="2019 Peterbilt ASL"/>
    <m/>
    <m/>
    <n v="1"/>
    <s v="3BPDL70X1KF106279"/>
    <n v="2019"/>
    <s v="Peterbilt"/>
    <s v="Labrie"/>
    <s v="TRUCKS AND TRAILERS"/>
    <s v="TBA"/>
    <s v="Automated Side Loader"/>
    <m/>
    <m/>
    <d v="2019-09-18T00:00:00"/>
    <d v="2019-09-18T00:00:00"/>
    <s v="2149-19-0002"/>
    <n v="1000"/>
    <n v="14040"/>
    <n v="358392.24"/>
    <n v="14046"/>
    <n v="164263.09"/>
    <n v="194129.15"/>
    <n v="11946.4"/>
    <n v="51260"/>
    <n v="2986.6"/>
    <s v="P"/>
    <m/>
    <n v="45"/>
    <s v=" "/>
    <s v="STL"/>
    <s v="YES"/>
    <s v="TBD"/>
    <n v="0"/>
    <x v="20"/>
    <m/>
    <m/>
    <m/>
    <m/>
    <m/>
    <m/>
    <m/>
    <m/>
    <m/>
    <m/>
    <x v="1"/>
  </r>
  <r>
    <n v="2149"/>
    <n v="217681"/>
    <s v="P"/>
    <s v="Capitalized"/>
    <s v="64gal MSW Carts"/>
    <m/>
    <m/>
    <n v="288"/>
    <m/>
    <n v="0"/>
    <s v="TOTER LLC"/>
    <m/>
    <s v="CONTAINERS"/>
    <s v="TBA"/>
    <m/>
    <m/>
    <m/>
    <d v="2019-07-24T00:00:00"/>
    <d v="2019-07-24T00:00:00"/>
    <s v="2149-19-0011-1"/>
    <n v="700"/>
    <n v="14050"/>
    <n v="13170.34"/>
    <n v="14056"/>
    <n v="8937.0300000000007"/>
    <n v="4233.3099999999995"/>
    <n v="627.16"/>
    <n v="54260"/>
    <n v="156.7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7680"/>
    <s v="P"/>
    <s v="Capitalized"/>
    <s v="48gal MSW Carts"/>
    <m/>
    <m/>
    <n v="288"/>
    <m/>
    <n v="0"/>
    <s v="TOTER LLC"/>
    <m/>
    <s v="CONTAINERS"/>
    <s v="TBA"/>
    <m/>
    <m/>
    <m/>
    <d v="2019-07-24T00:00:00"/>
    <d v="2019-07-24T00:00:00"/>
    <s v="2149-19-0011-1"/>
    <n v="700"/>
    <n v="14050"/>
    <n v="12810.33"/>
    <n v="14056"/>
    <n v="8692.7199999999993"/>
    <n v="4117.6100000000006"/>
    <n v="610"/>
    <n v="54260"/>
    <n v="152.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7679"/>
    <s v="P"/>
    <s v="Capitalized"/>
    <s v="96gal Recycle Carts"/>
    <m/>
    <m/>
    <n v="824"/>
    <m/>
    <n v="0"/>
    <s v="TOTER LLC"/>
    <m/>
    <s v="CONTAINERS"/>
    <s v="TBA"/>
    <m/>
    <m/>
    <m/>
    <d v="2019-07-24T00:00:00"/>
    <d v="2019-07-24T00:00:00"/>
    <s v="2149-19-0011-1"/>
    <n v="700"/>
    <n v="14050"/>
    <n v="41754.129999999997"/>
    <n v="14056"/>
    <n v="28333.17"/>
    <n v="13420.96"/>
    <n v="1988.28"/>
    <n v="54260"/>
    <n v="497.0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6318"/>
    <s v="P"/>
    <s v="Capitalized"/>
    <s v="2yd Metal Containers"/>
    <m/>
    <m/>
    <n v="100"/>
    <m/>
    <n v="0"/>
    <s v="RULE STEEL TANKS INC"/>
    <m/>
    <s v="CONTAINERS"/>
    <s v="TBA"/>
    <m/>
    <s v="2 YD"/>
    <s v="FEL/REL/SL Metal"/>
    <d v="2019-06-12T00:00:00"/>
    <d v="2019-06-12T00:00:00"/>
    <s v="2149-19-0009-1"/>
    <n v="1200"/>
    <n v="14050"/>
    <n v="53171"/>
    <n v="14056"/>
    <n v="21785.34"/>
    <n v="31385.66"/>
    <n v="1476.96"/>
    <n v="54260"/>
    <n v="369.2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6317"/>
    <s v="P"/>
    <s v="Capitalized"/>
    <s v="1.5yd Metal Containers"/>
    <m/>
    <m/>
    <n v="75"/>
    <m/>
    <n v="0"/>
    <s v="RULE STEEL TANKS INC"/>
    <m/>
    <s v="CONTAINERS"/>
    <s v="TBA"/>
    <m/>
    <s v="1.5 YD"/>
    <s v="FEL/REL/SL Metal"/>
    <d v="2019-06-12T00:00:00"/>
    <d v="2019-06-12T00:00:00"/>
    <s v="2149-19-0009-1"/>
    <n v="1200"/>
    <n v="14050"/>
    <n v="37329"/>
    <n v="14056"/>
    <n v="15294.53"/>
    <n v="22034.47"/>
    <n v="1036.92"/>
    <n v="54260"/>
    <n v="259.2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4066"/>
    <s v="P"/>
    <s v="Capitalized"/>
    <s v="204) 48gal, (288) 65gal, and (900) 95gal Totes"/>
    <m/>
    <m/>
    <n v="5"/>
    <m/>
    <n v="0"/>
    <s v="5 STAR INDUSTRIES LLC"/>
    <m/>
    <s v="CONTAINERS"/>
    <s v="TBA"/>
    <m/>
    <m/>
    <m/>
    <d v="2019-05-31T00:00:00"/>
    <d v="2019-05-31T00:00:00"/>
    <s v="2149-19-0008-1"/>
    <n v="1200"/>
    <n v="14050"/>
    <n v="31647.39"/>
    <n v="14056"/>
    <n v="12966.62"/>
    <n v="18680.769999999997"/>
    <n v="879.08"/>
    <n v="54260"/>
    <n v="219.7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3239"/>
    <s v="P"/>
    <s v="Capitalized"/>
    <s v="DM Pickup Truck Dodge Ram 1500"/>
    <m/>
    <m/>
    <n v="1"/>
    <s v="1C6RR7LTXES103845"/>
    <n v="2014"/>
    <s v="N/A"/>
    <s v="Dodge"/>
    <s v="TRUCKS AND TRAILERS"/>
    <s v="TBA"/>
    <s v="Pickup Truck"/>
    <m/>
    <m/>
    <d v="2016-08-09T00:00:00"/>
    <d v="2016-08-09T00:00:00"/>
    <s v="2112-16-0032-1"/>
    <n v="300"/>
    <n v="14040"/>
    <n v="28923.599999999999"/>
    <n v="14046"/>
    <n v="28923.599999999999"/>
    <n v="0"/>
    <n v="0"/>
    <n v="51260"/>
    <n v="0"/>
    <s v="P"/>
    <m/>
    <n v="101"/>
    <s v=" "/>
    <s v="STL"/>
    <s v="YES"/>
    <s v="TBD"/>
    <n v="0"/>
    <x v="20"/>
    <m/>
    <m/>
    <m/>
    <m/>
    <m/>
    <m/>
    <m/>
    <m/>
    <m/>
    <m/>
    <x v="1"/>
  </r>
  <r>
    <n v="2149"/>
    <n v="212751"/>
    <s v="P"/>
    <s v="Capitalized"/>
    <s v="96 Gal MSW Totes"/>
    <m/>
    <m/>
    <n v="276"/>
    <m/>
    <n v="0"/>
    <s v="TOTER LLC"/>
    <m/>
    <s v="CONTAINERS"/>
    <s v="TBA"/>
    <m/>
    <m/>
    <m/>
    <d v="2019-02-07T00:00:00"/>
    <d v="2019-02-07T00:00:00"/>
    <s v="2149-19-0008-1"/>
    <n v="700"/>
    <n v="14050"/>
    <n v="13759.6"/>
    <n v="14056"/>
    <n v="10319.69"/>
    <n v="3439.91"/>
    <n v="655.20000000000005"/>
    <n v="54260"/>
    <n v="163.8000000000000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2750"/>
    <s v="P"/>
    <s v="Capitalized"/>
    <s v="64 Gal MSW Totes"/>
    <m/>
    <m/>
    <n v="288"/>
    <m/>
    <n v="0"/>
    <s v="TOTER LLC"/>
    <m/>
    <s v="CONTAINERS"/>
    <s v="TBA"/>
    <m/>
    <m/>
    <m/>
    <d v="2019-02-07T00:00:00"/>
    <d v="2019-02-07T00:00:00"/>
    <s v="2149-19-0008-1"/>
    <n v="700"/>
    <n v="14050"/>
    <n v="13107.93"/>
    <n v="14056"/>
    <n v="9830.9599999999991"/>
    <n v="3276.9700000000012"/>
    <n v="624.20000000000005"/>
    <n v="54260"/>
    <n v="156.0500000000000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2749"/>
    <s v="P"/>
    <s v="Capitalized"/>
    <s v="48 Gal MSW Totes"/>
    <m/>
    <m/>
    <n v="204"/>
    <m/>
    <n v="0"/>
    <s v="TOTER LLC"/>
    <m/>
    <s v="CONTAINERS"/>
    <s v="TBA"/>
    <m/>
    <m/>
    <m/>
    <d v="2019-02-07T00:00:00"/>
    <d v="2019-02-07T00:00:00"/>
    <s v="2149-19-0008-1"/>
    <n v="700"/>
    <n v="14050"/>
    <n v="9008.11"/>
    <n v="14056"/>
    <n v="6756.07"/>
    <n v="2252.0400000000009"/>
    <n v="428.96"/>
    <n v="54260"/>
    <n v="107.2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12566"/>
    <s v="P"/>
    <s v="Capitalized"/>
    <s v="22 Ft Storage Units"/>
    <m/>
    <m/>
    <n v="4"/>
    <m/>
    <n v="0"/>
    <m/>
    <m/>
    <s v="CONTAINERS"/>
    <s v="TBA"/>
    <m/>
    <s v="22 YD"/>
    <s v="Storage Container"/>
    <d v="2011-01-01T00:00:00"/>
    <d v="2011-01-01T00:00:00"/>
    <m/>
    <n v="10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207741"/>
    <s v="P"/>
    <s v="Capitalized"/>
    <s v="Tip Wall Improvement"/>
    <m/>
    <m/>
    <n v="1"/>
    <m/>
    <n v="0"/>
    <s v="Maples Excavating"/>
    <m/>
    <s v="LEASEHOLD IMPROVEMENTS"/>
    <s v="LEASEHOLD IMPROVEMENTS"/>
    <m/>
    <m/>
    <m/>
    <d v="2018-11-15T00:00:00"/>
    <d v="2018-11-15T00:00:00"/>
    <s v="2149-18-0023-1"/>
    <n v="1000"/>
    <n v="14090"/>
    <n v="28752.5"/>
    <n v="14096"/>
    <n v="15813.86"/>
    <n v="12938.64"/>
    <n v="958.4"/>
    <n v="57260"/>
    <n v="239.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7443"/>
    <s v="P"/>
    <s v="Capitalized"/>
    <s v="MSW 300gal Tubs"/>
    <m/>
    <m/>
    <n v="25"/>
    <m/>
    <n v="0"/>
    <s v="ROTATIONAL MOLDING INC"/>
    <m/>
    <s v="CONTAINERS"/>
    <s v="TBA"/>
    <m/>
    <m/>
    <m/>
    <d v="2018-11-19T00:00:00"/>
    <d v="2018-11-19T00:00:00"/>
    <s v="2149-18-0024-1"/>
    <n v="700"/>
    <n v="14050"/>
    <n v="8023.58"/>
    <n v="14056"/>
    <n v="6208.75"/>
    <n v="1814.83"/>
    <n v="382.08"/>
    <n v="54260"/>
    <n v="95.5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7442"/>
    <s v="P"/>
    <s v="Capitalized"/>
    <s v="48gal MSW Carts"/>
    <m/>
    <m/>
    <n v="200"/>
    <m/>
    <n v="0"/>
    <s v="TOTER LLC"/>
    <m/>
    <s v="CONTAINERS"/>
    <s v="TBA"/>
    <m/>
    <m/>
    <m/>
    <d v="2018-12-21T00:00:00"/>
    <d v="2018-12-21T00:00:00"/>
    <s v="2149-18-0027-1"/>
    <n v="700"/>
    <n v="14050"/>
    <n v="10120.9"/>
    <n v="14056"/>
    <n v="7711.16"/>
    <n v="2409.7399999999998"/>
    <n v="481.96"/>
    <n v="54260"/>
    <n v="120.4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6186"/>
    <s v="P"/>
    <s v="Capitalized"/>
    <s v="Used 2011 Scissor Lift"/>
    <m/>
    <m/>
    <n v="1"/>
    <n v="22025220"/>
    <n v="2011"/>
    <s v="SkyJack"/>
    <s v="Skyjack"/>
    <s v="HEAVY EQUIPMENT"/>
    <s v="TBA"/>
    <s v="Manlift"/>
    <m/>
    <m/>
    <d v="2018-11-12T00:00:00"/>
    <d v="2018-11-12T00:00:00"/>
    <s v="2149-18-0026-1"/>
    <n v="300"/>
    <n v="14030"/>
    <n v="6467.65"/>
    <n v="14036"/>
    <n v="6467.65"/>
    <n v="0"/>
    <n v="0"/>
    <n v="51260"/>
    <n v="0"/>
    <s v="P"/>
    <m/>
    <n v="2011"/>
    <s v=" "/>
    <s v="STL"/>
    <s v="YES"/>
    <s v="TBD"/>
    <n v="0"/>
    <x v="20"/>
    <m/>
    <m/>
    <m/>
    <m/>
    <m/>
    <m/>
    <m/>
    <m/>
    <m/>
    <m/>
    <x v="1"/>
  </r>
  <r>
    <n v="2149"/>
    <n v="205264"/>
    <s v="P"/>
    <s v="Capitalized"/>
    <s v="1996 International type m"/>
    <m/>
    <m/>
    <n v="1"/>
    <s v="1HTSCABK9TH272639"/>
    <n v="1996"/>
    <s v="International"/>
    <s v="Capital Industrial"/>
    <s v="TRUCKS AND TRAILERS"/>
    <s v="TBA"/>
    <s v="Container Delivery Truck"/>
    <m/>
    <m/>
    <d v="2008-11-03T00:00:00"/>
    <d v="2008-11-03T00:00:00"/>
    <m/>
    <n v="300"/>
    <n v="14040"/>
    <n v="3000"/>
    <n v="14046"/>
    <n v="3000"/>
    <n v="0"/>
    <n v="0"/>
    <n v="51260"/>
    <n v="0"/>
    <s v="A"/>
    <s v="LeMay Enterprises"/>
    <n v="5"/>
    <s v=" "/>
    <s v="STL"/>
    <s v="YES"/>
    <s v="TBD"/>
    <n v="0"/>
    <x v="20"/>
    <m/>
    <m/>
    <m/>
    <m/>
    <m/>
    <m/>
    <m/>
    <m/>
    <m/>
    <m/>
    <x v="1"/>
  </r>
  <r>
    <n v="2149"/>
    <n v="204575"/>
    <s v="P"/>
    <s v="Capitalized"/>
    <s v="20yd Rolloff Box"/>
    <m/>
    <m/>
    <n v="2"/>
    <m/>
    <n v="0"/>
    <s v="WASTEQUIP LLC"/>
    <m/>
    <s v="CONTAINERS"/>
    <s v="TBA"/>
    <m/>
    <s v="20 YD"/>
    <s v="RO Box"/>
    <d v="2018-08-23T00:00:00"/>
    <d v="2018-08-23T00:00:00"/>
    <s v="2149-18-0021-1"/>
    <n v="1200"/>
    <n v="14050"/>
    <n v="13283.5"/>
    <n v="14056"/>
    <n v="6272.79"/>
    <n v="7010.71"/>
    <n v="369"/>
    <n v="54260"/>
    <n v="92.2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438"/>
    <s v="P"/>
    <s v="Capitalized"/>
    <s v="95gal Recycle Carts"/>
    <m/>
    <m/>
    <n v="200"/>
    <m/>
    <n v="0"/>
    <s v="TOTER LLC"/>
    <m/>
    <s v="CONTAINERS"/>
    <s v="TBA"/>
    <m/>
    <m/>
    <m/>
    <d v="2018-10-25T00:00:00"/>
    <d v="2018-10-25T00:00:00"/>
    <s v="2149-18-0025-1"/>
    <n v="700"/>
    <n v="14050"/>
    <n v="10739.7"/>
    <n v="14056"/>
    <n v="8438.31"/>
    <n v="2301.3900000000012"/>
    <n v="511.4"/>
    <n v="54260"/>
    <n v="127.8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437"/>
    <s v="P"/>
    <s v="Capitalized"/>
    <s v="95gal MSW Carts"/>
    <m/>
    <m/>
    <n v="100"/>
    <m/>
    <n v="0"/>
    <s v="TOTER LLC"/>
    <m/>
    <s v="CONTAINERS"/>
    <s v="TBA"/>
    <m/>
    <m/>
    <m/>
    <d v="2018-10-25T00:00:00"/>
    <d v="2018-10-25T00:00:00"/>
    <s v="2149-18-0025-1"/>
    <n v="700"/>
    <n v="14050"/>
    <n v="5369.83"/>
    <n v="14056"/>
    <n v="4219.17"/>
    <n v="1150.6599999999999"/>
    <n v="255.72"/>
    <n v="54260"/>
    <n v="63.9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436"/>
    <s v="P"/>
    <s v="Capitalized"/>
    <s v="64gal Recycle Carts"/>
    <m/>
    <m/>
    <n v="200"/>
    <m/>
    <n v="0"/>
    <s v="TOTER LLC"/>
    <m/>
    <s v="CONTAINERS"/>
    <s v="TBA"/>
    <m/>
    <m/>
    <m/>
    <d v="2018-10-25T00:00:00"/>
    <d v="2018-10-25T00:00:00"/>
    <s v="2149-18-0025-1"/>
    <n v="700"/>
    <n v="14050"/>
    <n v="9491.9"/>
    <n v="14056"/>
    <n v="7457.95"/>
    <n v="2033.9499999999998"/>
    <n v="452"/>
    <n v="54260"/>
    <n v="11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435"/>
    <s v="P"/>
    <s v="Capitalized"/>
    <s v="64gal MSW Carts"/>
    <m/>
    <m/>
    <n v="100"/>
    <m/>
    <n v="0"/>
    <s v="TOTER LLC"/>
    <m/>
    <s v="CONTAINERS"/>
    <s v="TBA"/>
    <m/>
    <m/>
    <m/>
    <d v="2018-10-25T00:00:00"/>
    <d v="2018-10-25T00:00:00"/>
    <s v="2149-18-0025-1"/>
    <n v="700"/>
    <n v="14050"/>
    <n v="4745.95"/>
    <n v="14056"/>
    <n v="3728.95"/>
    <n v="1017"/>
    <n v="226"/>
    <n v="54260"/>
    <n v="56.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286"/>
    <s v="P"/>
    <s v="Capitalized"/>
    <s v="1.5yd Metal REL Containers"/>
    <m/>
    <m/>
    <n v="28"/>
    <m/>
    <n v="0"/>
    <s v="WASTEQUIP LLC"/>
    <m/>
    <s v="CONTAINERS"/>
    <s v="TBA"/>
    <m/>
    <s v="1.5 YD"/>
    <s v="FEL/REL/SL Metal"/>
    <d v="2018-09-18T00:00:00"/>
    <d v="2018-09-18T00:00:00"/>
    <s v="2149-18-0021-4"/>
    <n v="1200"/>
    <n v="14050"/>
    <n v="15355.5"/>
    <n v="14056"/>
    <n v="7144.62"/>
    <n v="8210.880000000001"/>
    <n v="426.56"/>
    <n v="54260"/>
    <n v="106.6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285"/>
    <s v="P"/>
    <s v="Capitalized"/>
    <s v="40yd Rolloff Box"/>
    <m/>
    <m/>
    <n v="6"/>
    <m/>
    <n v="0"/>
    <s v="WASTEQUIP LLC"/>
    <m/>
    <s v="CONTAINERS"/>
    <s v="TBA"/>
    <m/>
    <s v="40 YD"/>
    <s v="RO Box"/>
    <d v="2018-09-18T00:00:00"/>
    <d v="2018-09-18T00:00:00"/>
    <s v="2149-18-0021-4"/>
    <n v="1200"/>
    <n v="14050"/>
    <n v="52025"/>
    <n v="14056"/>
    <n v="24206.080000000002"/>
    <n v="27818.92"/>
    <n v="1445.12"/>
    <n v="54260"/>
    <n v="361.2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4284"/>
    <s v="P"/>
    <s v="Capitalized"/>
    <s v="20yd Rolloff Boxes"/>
    <m/>
    <m/>
    <n v="2"/>
    <m/>
    <n v="0"/>
    <s v="WASTEQUIP LLC"/>
    <m/>
    <s v="CONTAINERS"/>
    <s v="TBA"/>
    <m/>
    <s v="20 YD"/>
    <s v="RO Box"/>
    <d v="2018-08-23T00:00:00"/>
    <d v="2018-08-23T00:00:00"/>
    <s v="2149-18-0021-3"/>
    <n v="1200"/>
    <n v="14050"/>
    <n v="13283.5"/>
    <n v="14056"/>
    <n v="6272.79"/>
    <n v="7010.71"/>
    <n v="369"/>
    <n v="54260"/>
    <n v="92.2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953"/>
    <s v="P"/>
    <s v="Capitalized"/>
    <s v="2yd Metal REL Containers"/>
    <m/>
    <m/>
    <n v="47"/>
    <m/>
    <n v="0"/>
    <s v="WASTEQUIP LLC"/>
    <m/>
    <s v="CONTAINERS"/>
    <s v="TBA"/>
    <m/>
    <s v="2 YD"/>
    <s v="FEL/REL/SL Metal"/>
    <d v="2018-09-04T00:00:00"/>
    <d v="2018-09-04T00:00:00"/>
    <s v="2149-18-0021-2"/>
    <n v="1200"/>
    <n v="14050"/>
    <n v="28494.5"/>
    <n v="14056"/>
    <n v="13455.73"/>
    <n v="15038.77"/>
    <n v="791.52"/>
    <n v="54260"/>
    <n v="197.8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786"/>
    <s v="P"/>
    <s v="Capitalized"/>
    <s v="96gal Recycle Carts"/>
    <m/>
    <m/>
    <n v="282"/>
    <m/>
    <n v="0"/>
    <s v="TOTER LLC"/>
    <m/>
    <s v="CONTAINERS"/>
    <s v="TBA"/>
    <m/>
    <m/>
    <m/>
    <d v="2018-08-25T00:00:00"/>
    <d v="2018-08-25T00:00:00"/>
    <s v="2149-18-0022-1"/>
    <n v="700"/>
    <n v="14050"/>
    <n v="15071.71"/>
    <n v="14056"/>
    <n v="12200.92"/>
    <n v="2870.7899999999991"/>
    <n v="717.72"/>
    <n v="54260"/>
    <n v="179.4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785"/>
    <s v="P"/>
    <s v="Capitalized"/>
    <s v="96gal MSW Carts"/>
    <m/>
    <m/>
    <n v="150"/>
    <m/>
    <n v="0"/>
    <s v="TOTER LLC"/>
    <m/>
    <s v="CONTAINERS"/>
    <s v="TBA"/>
    <m/>
    <m/>
    <m/>
    <d v="2018-08-25T00:00:00"/>
    <d v="2018-08-25T00:00:00"/>
    <s v="2149-18-0022-1"/>
    <n v="700"/>
    <n v="14050"/>
    <n v="8016.86"/>
    <n v="14056"/>
    <n v="6489.87"/>
    <n v="1526.9899999999998"/>
    <n v="381.76"/>
    <n v="54260"/>
    <n v="95.4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784"/>
    <s v="P"/>
    <s v="Capitalized"/>
    <s v="64gal MSW Carts"/>
    <m/>
    <m/>
    <n v="150"/>
    <m/>
    <n v="0"/>
    <s v="TOTER LLC"/>
    <m/>
    <s v="CONTAINERS"/>
    <s v="TBA"/>
    <m/>
    <m/>
    <m/>
    <d v="2018-08-25T00:00:00"/>
    <d v="2018-08-25T00:00:00"/>
    <s v="2149-18-0022-1"/>
    <n v="700"/>
    <n v="14050"/>
    <n v="7081.05"/>
    <n v="14056"/>
    <n v="5732.29"/>
    <n v="1348.7600000000002"/>
    <n v="337.2"/>
    <n v="54260"/>
    <n v="84.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783"/>
    <s v="P"/>
    <s v="Capitalized"/>
    <s v="48gal MSW Carts"/>
    <m/>
    <m/>
    <n v="100"/>
    <m/>
    <n v="0"/>
    <s v="TOTER LLC"/>
    <m/>
    <s v="CONTAINERS"/>
    <s v="TBA"/>
    <m/>
    <m/>
    <m/>
    <d v="2018-08-25T00:00:00"/>
    <d v="2018-08-25T00:00:00"/>
    <s v="2149-18-0022-1"/>
    <n v="700"/>
    <n v="14050"/>
    <n v="4612.1899999999996"/>
    <n v="14056"/>
    <n v="3733.72"/>
    <n v="878.4699999999998"/>
    <n v="219.64"/>
    <n v="54260"/>
    <n v="54.9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682"/>
    <n v="202836"/>
    <s v="Capitalized"/>
    <s v="Licensing"/>
    <m/>
    <m/>
    <n v="1"/>
    <m/>
    <n v="0"/>
    <s v="WA Department of Licensin"/>
    <m/>
    <s v="TRUCKS AND TRAILERS"/>
    <s v="TBA"/>
    <s v="Non-Rolling Stock"/>
    <m/>
    <m/>
    <d v="2018-09-30T00:00:00"/>
    <d v="2018-09-30T00:00:00"/>
    <s v="2149-18-0012-1"/>
    <n v="1000"/>
    <n v="14040"/>
    <n v="957"/>
    <n v="14046"/>
    <n v="534.35"/>
    <n v="422.65"/>
    <n v="31.92"/>
    <n v="51260"/>
    <n v="7.9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681"/>
    <n v="202835"/>
    <s v="Capitalized"/>
    <s v="Licensing"/>
    <m/>
    <m/>
    <n v="1"/>
    <m/>
    <n v="0"/>
    <s v="WA Department of Licensin"/>
    <m/>
    <s v="TRUCKS AND TRAILERS"/>
    <s v="TBA"/>
    <s v="Non-Rolling Stock"/>
    <m/>
    <m/>
    <d v="2018-09-30T00:00:00"/>
    <d v="2018-09-30T00:00:00"/>
    <s v="2149-18-0011-1"/>
    <n v="1000"/>
    <n v="14040"/>
    <n v="957"/>
    <n v="14046"/>
    <n v="534.35"/>
    <n v="422.65"/>
    <n v="31.92"/>
    <n v="51260"/>
    <n v="7.9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3539"/>
    <s v="P"/>
    <s v="Capitalized"/>
    <s v="2000 Type HT W-F Trailer"/>
    <m/>
    <m/>
    <n v="1"/>
    <s v="2K9WF1Z43YH035098"/>
    <n v="2000"/>
    <s v="Titan"/>
    <s v="Titan"/>
    <s v="TRUCKS AND TRAILERS"/>
    <s v="TBA"/>
    <s v="Other Trailer"/>
    <m/>
    <m/>
    <d v="2008-11-03T00:00:00"/>
    <d v="2008-11-03T00:00:00"/>
    <m/>
    <n v="300"/>
    <n v="14040"/>
    <n v="18000"/>
    <n v="14046"/>
    <n v="18000"/>
    <n v="0"/>
    <n v="0"/>
    <n v="51260"/>
    <n v="0"/>
    <s v="A"/>
    <s v="LeMay Enterprises"/>
    <n v="8019"/>
    <s v=" "/>
    <s v="STL"/>
    <s v="YES"/>
    <s v="TBD"/>
    <n v="0"/>
    <x v="20"/>
    <m/>
    <m/>
    <m/>
    <m/>
    <m/>
    <m/>
    <m/>
    <m/>
    <m/>
    <m/>
    <x v="1"/>
  </r>
  <r>
    <n v="2149"/>
    <n v="202836"/>
    <s v="P"/>
    <s v="Capitalized"/>
    <s v="2019 Peterbilt 520 ASL"/>
    <m/>
    <m/>
    <n v="1"/>
    <s v="3BPDL70X4KF103960"/>
    <n v="2019"/>
    <s v="Peterbilt"/>
    <s v="Labrie"/>
    <s v="TRUCKS AND TRAILERS"/>
    <s v="TBA"/>
    <s v="Automated Side Loader"/>
    <m/>
    <m/>
    <d v="2018-09-30T00:00:00"/>
    <d v="2018-09-30T00:00:00"/>
    <s v="2149-18-0012-1"/>
    <n v="1000"/>
    <n v="14040"/>
    <n v="338950.96"/>
    <n v="14046"/>
    <n v="189247.63"/>
    <n v="149703.33000000002"/>
    <n v="11298.36"/>
    <n v="51260"/>
    <n v="2824.59"/>
    <s v="P"/>
    <m/>
    <n v="39"/>
    <s v=" "/>
    <s v="STL"/>
    <s v="YES"/>
    <s v="TBD"/>
    <n v="0"/>
    <x v="20"/>
    <m/>
    <m/>
    <m/>
    <m/>
    <m/>
    <m/>
    <m/>
    <m/>
    <m/>
    <m/>
    <x v="1"/>
  </r>
  <r>
    <n v="2149"/>
    <n v="202835"/>
    <s v="P"/>
    <s v="Capitalized"/>
    <s v="2019 Peterbilt 520 ASL"/>
    <m/>
    <m/>
    <n v="1"/>
    <s v="3BPDL70X8KF103959"/>
    <n v="2019"/>
    <s v="Peterbilt"/>
    <s v="Labrie"/>
    <s v="TRUCKS AND TRAILERS"/>
    <s v="TBA"/>
    <s v="Automated Side Loader"/>
    <m/>
    <m/>
    <d v="2018-09-30T00:00:00"/>
    <d v="2018-09-30T00:00:00"/>
    <s v="2149-18-0011-1"/>
    <n v="1000"/>
    <n v="14040"/>
    <n v="338950.96"/>
    <n v="14046"/>
    <n v="189247.63"/>
    <n v="149703.33000000002"/>
    <n v="11298.36"/>
    <n v="51260"/>
    <n v="2824.59"/>
    <s v="P"/>
    <m/>
    <n v="38"/>
    <s v=" "/>
    <s v="STL"/>
    <s v="YES"/>
    <s v="TBD"/>
    <n v="0"/>
    <x v="20"/>
    <m/>
    <m/>
    <m/>
    <m/>
    <m/>
    <m/>
    <m/>
    <m/>
    <m/>
    <m/>
    <x v="1"/>
  </r>
  <r>
    <n v="2149"/>
    <n v="202595"/>
    <n v="202835"/>
    <s v="Capitalized"/>
    <s v="Drivecam"/>
    <m/>
    <m/>
    <n v="1"/>
    <m/>
    <n v="0"/>
    <s v="Lytx - Drivecam"/>
    <m/>
    <s v="TRUCKS AND TRAILERS"/>
    <s v="TBA"/>
    <s v="Non-Rolling Stock"/>
    <m/>
    <m/>
    <d v="2018-08-07T00:00:00"/>
    <d v="2018-08-07T00:00:00"/>
    <s v="2149-18-0011-1"/>
    <n v="500"/>
    <n v="14040"/>
    <n v="967.82"/>
    <n v="14046"/>
    <n v="967.8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1329"/>
    <s v="P"/>
    <s v="Capitalized"/>
    <s v="MSW 300 Gallon Tubs"/>
    <m/>
    <m/>
    <n v="25"/>
    <m/>
    <n v="0"/>
    <s v="ROTATIONAL MOLDING INC"/>
    <m/>
    <s v="CONTAINERS"/>
    <s v="TBA"/>
    <m/>
    <m/>
    <m/>
    <d v="2018-07-01T00:00:00"/>
    <d v="2018-07-01T00:00:00"/>
    <s v="2149-18-0020-1"/>
    <n v="700"/>
    <n v="14050"/>
    <n v="7969.33"/>
    <n v="14056"/>
    <n v="6641.12"/>
    <n v="1328.21"/>
    <n v="379.48"/>
    <n v="54260"/>
    <n v="94.8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8004"/>
    <s v="P"/>
    <s v="Capitalized"/>
    <s v="2 YD Container"/>
    <m/>
    <m/>
    <n v="10"/>
    <m/>
    <n v="0"/>
    <m/>
    <m/>
    <s v="CONTAINERS"/>
    <s v="TBA"/>
    <m/>
    <s v="2 YD"/>
    <s v="FEL/REL/SL Metal"/>
    <d v="2018-06-01T00:00:00"/>
    <d v="2018-06-01T00:00:00"/>
    <m/>
    <n v="0"/>
    <n v="14050"/>
    <n v="0"/>
    <n v="14056"/>
    <n v="0"/>
    <n v="0"/>
    <n v="0"/>
    <n v="54260"/>
    <n v="0"/>
    <s v="P"/>
    <m/>
    <m/>
    <s v=" "/>
    <s v="STL"/>
    <s v="NO"/>
    <s v="TBD"/>
    <n v="0"/>
    <x v="20"/>
    <m/>
    <m/>
    <m/>
    <m/>
    <m/>
    <m/>
    <m/>
    <m/>
    <m/>
    <m/>
    <x v="1"/>
  </r>
  <r>
    <n v="2149"/>
    <n v="197274"/>
    <s v="P"/>
    <s v="Capitalized"/>
    <s v="96 Gallon Recycle Carts"/>
    <m/>
    <m/>
    <n v="280"/>
    <m/>
    <n v="0"/>
    <s v="TOTER LLC"/>
    <m/>
    <s v="CONTAINERS"/>
    <s v="TBA"/>
    <m/>
    <m/>
    <m/>
    <d v="2018-04-19T00:00:00"/>
    <d v="2018-04-19T00:00:00"/>
    <s v="2149-18-0019-1"/>
    <n v="700"/>
    <n v="14050"/>
    <n v="14627.56"/>
    <n v="14056"/>
    <n v="12537.91"/>
    <n v="2089.6499999999996"/>
    <n v="696.56"/>
    <n v="54260"/>
    <n v="174.1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7273"/>
    <s v="P"/>
    <s v="Capitalized"/>
    <s v="96 Gallon Garbage Carts"/>
    <m/>
    <m/>
    <n v="150"/>
    <m/>
    <n v="0"/>
    <s v="TOTER LLC"/>
    <m/>
    <s v="CONTAINERS"/>
    <s v="TBA"/>
    <m/>
    <m/>
    <m/>
    <d v="2018-04-19T00:00:00"/>
    <d v="2018-04-19T00:00:00"/>
    <s v="2149-18-0019-1"/>
    <n v="700"/>
    <n v="14050"/>
    <n v="7836.19"/>
    <n v="14056"/>
    <n v="6716.76"/>
    <n v="1119.4299999999994"/>
    <n v="373.16"/>
    <n v="54260"/>
    <n v="93.2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7272"/>
    <s v="P"/>
    <s v="Capitalized"/>
    <s v="64 Gallon Garbage Carts"/>
    <m/>
    <m/>
    <n v="100"/>
    <m/>
    <n v="0"/>
    <s v="TOTER LLC"/>
    <m/>
    <s v="CONTAINERS"/>
    <s v="TBA"/>
    <m/>
    <m/>
    <m/>
    <d v="2018-04-19T00:00:00"/>
    <d v="2018-04-19T00:00:00"/>
    <s v="2149-18-0019-1"/>
    <n v="700"/>
    <n v="14050"/>
    <n v="4627.38"/>
    <n v="14056"/>
    <n v="3966.36"/>
    <n v="661.02"/>
    <n v="220.36"/>
    <n v="54260"/>
    <n v="55.0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7271"/>
    <s v="P"/>
    <s v="Capitalized"/>
    <s v="35 Gallon Garbage Carts"/>
    <m/>
    <m/>
    <n v="200"/>
    <m/>
    <n v="0"/>
    <s v="TOTER LLC"/>
    <m/>
    <s v="CONTAINERS"/>
    <s v="TBA"/>
    <m/>
    <m/>
    <m/>
    <d v="2018-04-19T00:00:00"/>
    <d v="2018-04-19T00:00:00"/>
    <s v="2149-18-0019-1"/>
    <n v="700"/>
    <n v="14050"/>
    <n v="8278.25"/>
    <n v="14056"/>
    <n v="7095.66"/>
    <n v="1182.5900000000001"/>
    <n v="394.2"/>
    <n v="54260"/>
    <n v="98.5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5654"/>
    <s v="P"/>
    <s v="Capitalized"/>
    <s v="Kitchen/Conference Room/Bathroom addition"/>
    <m/>
    <m/>
    <n v="1"/>
    <m/>
    <n v="0"/>
    <s v="SHRUM CONSTRUCTION"/>
    <m/>
    <s v="LEASEHOLD IMPROVEMENTS"/>
    <s v="LEASEHOLD IMPROVEMENTS"/>
    <m/>
    <m/>
    <m/>
    <d v="2018-03-31T00:00:00"/>
    <d v="2018-03-31T00:00:00"/>
    <s v="2149-18-0016-1"/>
    <n v="1000"/>
    <n v="14090"/>
    <n v="36063.39"/>
    <n v="14096"/>
    <n v="21938.58"/>
    <n v="14124.809999999998"/>
    <n v="1202.1199999999999"/>
    <n v="57260"/>
    <n v="300.5299999999999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5624"/>
    <s v="P"/>
    <s v="Capitalized"/>
    <s v="96 Gallon Yard Waste Carts"/>
    <m/>
    <m/>
    <n v="50"/>
    <m/>
    <n v="0"/>
    <s v="TOTER LLC"/>
    <m/>
    <s v="CONTAINERS"/>
    <s v="TBA"/>
    <m/>
    <m/>
    <m/>
    <d v="2018-04-12T00:00:00"/>
    <d v="2018-04-12T00:00:00"/>
    <s v="2149-18-0018-1"/>
    <n v="700"/>
    <n v="14050"/>
    <n v="3660.96"/>
    <n v="14056"/>
    <n v="3181.57"/>
    <n v="479.38999999999987"/>
    <n v="174.32"/>
    <n v="54260"/>
    <n v="43.5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5623"/>
    <s v="P"/>
    <s v="Capitalized"/>
    <s v="96 Gallon Recycle Carts"/>
    <m/>
    <m/>
    <n v="362"/>
    <m/>
    <n v="0"/>
    <s v="TOTER LLC"/>
    <m/>
    <s v="CONTAINERS"/>
    <s v="TBA"/>
    <m/>
    <m/>
    <m/>
    <d v="2018-04-12T00:00:00"/>
    <d v="2018-04-12T00:00:00"/>
    <s v="2149-18-0018-1"/>
    <n v="700"/>
    <n v="14050"/>
    <n v="19046.66"/>
    <n v="14056"/>
    <n v="16552.46"/>
    <n v="2494.2000000000007"/>
    <n v="907"/>
    <n v="54260"/>
    <n v="226.7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5622"/>
    <s v="P"/>
    <s v="Capitalized"/>
    <s v="96 Gallon Garbage Carts"/>
    <m/>
    <m/>
    <n v="50"/>
    <m/>
    <n v="0"/>
    <s v="TOTER LLC"/>
    <m/>
    <s v="CONTAINERS"/>
    <s v="TBA"/>
    <m/>
    <m/>
    <m/>
    <d v="2018-04-12T00:00:00"/>
    <d v="2018-04-12T00:00:00"/>
    <s v="2149-18-0018-1"/>
    <n v="700"/>
    <n v="14050"/>
    <n v="2630.75"/>
    <n v="14056"/>
    <n v="2286.25"/>
    <n v="344.5"/>
    <n v="125.28"/>
    <n v="54260"/>
    <n v="31.3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5621"/>
    <s v="P"/>
    <s v="Capitalized"/>
    <s v="64 Gallon Garbage Carts"/>
    <m/>
    <m/>
    <n v="150"/>
    <m/>
    <n v="0"/>
    <s v="TOTER LLC"/>
    <m/>
    <s v="CONTAINERS"/>
    <s v="TBA"/>
    <m/>
    <m/>
    <m/>
    <d v="2018-04-12T00:00:00"/>
    <d v="2018-04-12T00:00:00"/>
    <s v="2149-18-0018-1"/>
    <n v="700"/>
    <n v="14050"/>
    <n v="6997.14"/>
    <n v="14056"/>
    <n v="6080.84"/>
    <n v="916.30000000000018"/>
    <n v="333.2"/>
    <n v="54260"/>
    <n v="83.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4636"/>
    <s v="P"/>
    <s v="Capitalized"/>
    <s v="Fire Alarm System for Office Building"/>
    <m/>
    <m/>
    <n v="1"/>
    <m/>
    <n v="0"/>
    <s v="PROTECTION ONE"/>
    <m/>
    <s v="LEASEHOLD IMPROVEMENTS"/>
    <s v="LEASEHOLD IMPROVEMENTS"/>
    <m/>
    <m/>
    <m/>
    <d v="2018-01-01T00:00:00"/>
    <d v="2018-01-01T00:00:00"/>
    <s v="2149-17-0032-1"/>
    <n v="1000"/>
    <n v="14090"/>
    <n v="13031.65"/>
    <n v="14096"/>
    <n v="8253.42"/>
    <n v="4778.2299999999996"/>
    <n v="434.4"/>
    <n v="57260"/>
    <n v="108.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4635"/>
    <s v="P"/>
    <s v="Capitalized"/>
    <s v="Kitchen/Conference Room/Bathroom addition"/>
    <m/>
    <m/>
    <n v="1"/>
    <m/>
    <n v="0"/>
    <s v="SHRUM CONSTRUCTION"/>
    <m/>
    <s v="LEASEHOLD IMPROVEMENTS"/>
    <s v="LEASEHOLD IMPROVEMENTS"/>
    <m/>
    <m/>
    <m/>
    <d v="2018-03-31T00:00:00"/>
    <d v="2018-03-31T00:00:00"/>
    <s v="2149-18-0016-1"/>
    <n v="1000"/>
    <n v="14090"/>
    <n v="33614.33"/>
    <n v="14096"/>
    <n v="20448.71"/>
    <n v="13165.620000000003"/>
    <n v="1120.48"/>
    <n v="57260"/>
    <n v="280.1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4615"/>
    <s v="P"/>
    <s v="Capitalized"/>
    <s v="2 Yard REL Containers"/>
    <m/>
    <m/>
    <n v="12"/>
    <m/>
    <n v="0"/>
    <s v="CAPITAL INDUSTRIES INC"/>
    <m/>
    <s v="CONTAINERS"/>
    <s v="TBA"/>
    <m/>
    <s v="2 YD"/>
    <s v="FEL/REL/SL Metal"/>
    <d v="2018-01-01T00:00:00"/>
    <d v="2018-01-01T00:00:00"/>
    <s v="2149-17-0033-3"/>
    <n v="1200"/>
    <n v="14050"/>
    <n v="6480"/>
    <n v="14056"/>
    <n v="3420"/>
    <n v="3060"/>
    <n v="180"/>
    <n v="54260"/>
    <n v="4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4614"/>
    <s v="P"/>
    <s v="Capitalized"/>
    <s v="40 Yard Rolloff Boxes"/>
    <m/>
    <m/>
    <n v="2"/>
    <m/>
    <n v="0"/>
    <s v="CAPITAL INDUSTRIES INC"/>
    <m/>
    <s v="CONTAINERS"/>
    <s v="TBA"/>
    <m/>
    <s v="40 YD"/>
    <s v="RO Box"/>
    <d v="2018-01-01T00:00:00"/>
    <d v="2018-01-01T00:00:00"/>
    <s v="2149-17-0033-1"/>
    <n v="1200"/>
    <n v="14050"/>
    <n v="11980"/>
    <n v="14056"/>
    <n v="6322.74"/>
    <n v="5657.26"/>
    <n v="332.76"/>
    <n v="54260"/>
    <n v="83.1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4613"/>
    <s v="P"/>
    <s v="Capitalized"/>
    <s v="30 Yard Rolloff Box"/>
    <m/>
    <m/>
    <n v="1"/>
    <m/>
    <n v="0"/>
    <s v="CAPITAL INDUSTRIES INC"/>
    <m/>
    <s v="CONTAINERS"/>
    <s v="TBA"/>
    <m/>
    <s v="30 YD"/>
    <s v="RO Box"/>
    <d v="2018-01-01T00:00:00"/>
    <d v="2018-01-01T00:00:00"/>
    <s v="2149-17-0033-1"/>
    <n v="1200"/>
    <n v="14050"/>
    <n v="4910"/>
    <n v="14056"/>
    <n v="2591.42"/>
    <n v="2318.58"/>
    <n v="136.4"/>
    <n v="54260"/>
    <n v="34.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8168"/>
    <n v="183283"/>
    <s v="Capitalized"/>
    <s v="Paint Lift Gate on REL"/>
    <m/>
    <m/>
    <n v="1"/>
    <m/>
    <n v="0"/>
    <s v="Triple C Fabricators LLC"/>
    <m/>
    <s v="TRUCKS AND TRAILERS"/>
    <s v="TBA"/>
    <s v="Non-Rolling Stock"/>
    <m/>
    <m/>
    <d v="2017-09-15T00:00:00"/>
    <d v="2017-09-15T00:00:00"/>
    <s v="2149-17-0009-1"/>
    <n v="1000"/>
    <n v="14040"/>
    <n v="1490.08"/>
    <n v="14046"/>
    <n v="993.41"/>
    <n v="496.66999999999996"/>
    <n v="49.68"/>
    <n v="51260"/>
    <n v="12.4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5859"/>
    <n v="183283"/>
    <s v="Capitalized"/>
    <s v="Roll Bar Kit on REL"/>
    <m/>
    <m/>
    <n v="1"/>
    <m/>
    <n v="0"/>
    <s v="HEIL ENVIRONMENTAL IND LT"/>
    <m/>
    <s v="TRUCKS AND TRAILERS"/>
    <s v="TBA"/>
    <s v="Non-Rolling Stock"/>
    <m/>
    <m/>
    <d v="2017-08-29T00:00:00"/>
    <d v="2017-08-29T00:00:00"/>
    <s v="2149-17-0009-1"/>
    <n v="500"/>
    <n v="14040"/>
    <n v="8033.71"/>
    <n v="14046"/>
    <n v="8033.7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5585"/>
    <n v="185174"/>
    <s v="Capitalized"/>
    <s v="Downpayment"/>
    <m/>
    <m/>
    <n v="1"/>
    <m/>
    <n v="0"/>
    <s v="Sunset"/>
    <m/>
    <s v="TRUCKS AND TRAILERS"/>
    <s v="TBA"/>
    <s v="Non-Rolling Stock"/>
    <m/>
    <m/>
    <d v="2017-08-09T00:00:00"/>
    <d v="2017-08-09T00:00:00"/>
    <s v="2149-17-0031-1"/>
    <n v="300"/>
    <n v="14040"/>
    <n v="500"/>
    <n v="14046"/>
    <n v="500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5431"/>
    <n v="80334"/>
    <s v="Capitalized"/>
    <s v="In-House Engine overhaul Labor"/>
    <m/>
    <m/>
    <n v="1"/>
    <m/>
    <n v="0"/>
    <s v="WCI"/>
    <m/>
    <s v="TRUCKS AND TRAILERS"/>
    <s v="TBA"/>
    <s v="Non-Rolling Stock"/>
    <m/>
    <m/>
    <d v="2017-04-30T00:00:00"/>
    <d v="2017-04-30T00:00:00"/>
    <s v="2149-17-0014-1"/>
    <n v="300"/>
    <n v="14040"/>
    <n v="2453.85"/>
    <n v="14046"/>
    <n v="2453.85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5174"/>
    <s v="P"/>
    <s v="Capitalized"/>
    <s v="2017 Chevy Silverado"/>
    <m/>
    <m/>
    <n v="1"/>
    <s v="1GCUKREC4HF241300"/>
    <n v="2017"/>
    <s v="Sunset"/>
    <s v="Chevrolet"/>
    <s v="TRUCKS AND TRAILERS"/>
    <s v="TBA"/>
    <s v="Pickup Truck"/>
    <m/>
    <m/>
    <d v="2017-08-09T00:00:00"/>
    <d v="2017-08-09T00:00:00"/>
    <s v="2149-17-0031-1"/>
    <n v="500"/>
    <n v="14040"/>
    <n v="38000"/>
    <n v="14046"/>
    <n v="38000"/>
    <n v="0"/>
    <n v="0"/>
    <n v="51260"/>
    <n v="0"/>
    <s v="P"/>
    <m/>
    <s v="M2"/>
    <s v=" "/>
    <s v="STL"/>
    <s v="YES"/>
    <s v="TBD"/>
    <n v="0"/>
    <x v="20"/>
    <m/>
    <m/>
    <m/>
    <m/>
    <m/>
    <m/>
    <m/>
    <m/>
    <m/>
    <m/>
    <x v="1"/>
  </r>
  <r>
    <n v="2149"/>
    <n v="184363"/>
    <s v="P"/>
    <s v="Capitalized"/>
    <s v="2017 Peterbilt 320 ASL"/>
    <m/>
    <m/>
    <n v="1"/>
    <s v="3BPZL70X8HF174660"/>
    <n v="2017"/>
    <s v="Peterbilt"/>
    <s v="Labrie"/>
    <s v="TRUCKS AND TRAILERS"/>
    <s v="TBA"/>
    <s v="Automated Side Loader"/>
    <m/>
    <m/>
    <d v="2017-07-10T00:00:00"/>
    <d v="2017-07-10T00:00:00"/>
    <s v="2149-17-0008-1"/>
    <n v="1000"/>
    <n v="14040"/>
    <n v="338304.94"/>
    <n v="14046"/>
    <n v="231175.03"/>
    <n v="107129.91"/>
    <n v="11276.84"/>
    <n v="51260"/>
    <n v="2819.21"/>
    <s v="P"/>
    <m/>
    <n v="9"/>
    <s v=" "/>
    <s v="STL"/>
    <s v="YES"/>
    <s v="TBD"/>
    <n v="0"/>
    <x v="20"/>
    <m/>
    <m/>
    <m/>
    <m/>
    <m/>
    <m/>
    <m/>
    <m/>
    <m/>
    <m/>
    <x v="1"/>
  </r>
  <r>
    <n v="2149"/>
    <n v="183698"/>
    <s v="P"/>
    <s v="Capitalized"/>
    <s v="65 Gallon Green Recycle Carts - Shelton"/>
    <m/>
    <m/>
    <n v="1120"/>
    <m/>
    <n v="0"/>
    <s v="City of Shelton"/>
    <m/>
    <s v="CONTAINERS"/>
    <s v="TBA"/>
    <m/>
    <m/>
    <m/>
    <d v="2017-06-30T00:00:00"/>
    <d v="2017-06-30T00:00:00"/>
    <s v="2149-17-0018-10"/>
    <n v="500"/>
    <n v="14050"/>
    <n v="30380"/>
    <n v="14056"/>
    <n v="3038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7"/>
    <s v="P"/>
    <s v="Capitalized"/>
    <s v="300 gallon solid waste containers - Shelton"/>
    <m/>
    <m/>
    <n v="435"/>
    <m/>
    <n v="0"/>
    <s v="City of Shelton"/>
    <m/>
    <s v="CONTAINERS"/>
    <s v="TBA"/>
    <m/>
    <m/>
    <m/>
    <d v="2017-06-30T00:00:00"/>
    <d v="2017-06-30T00:00:00"/>
    <s v="2149-17-0018-7"/>
    <n v="500"/>
    <n v="14050"/>
    <n v="37975"/>
    <n v="14056"/>
    <n v="3797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6"/>
    <s v="P"/>
    <s v="Capitalized"/>
    <s v="65 Gallon Blue Recycle Carts - Shelton"/>
    <m/>
    <m/>
    <n v="1120"/>
    <m/>
    <n v="0"/>
    <s v="City of Shelton"/>
    <m/>
    <s v="CONTAINERS"/>
    <s v="TBA"/>
    <m/>
    <m/>
    <m/>
    <d v="2017-06-30T00:00:00"/>
    <d v="2017-06-30T00:00:00"/>
    <s v="2149-17-0018-9"/>
    <n v="500"/>
    <n v="14050"/>
    <n v="30380"/>
    <n v="14056"/>
    <n v="3038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5"/>
    <s v="P"/>
    <s v="Capitalized"/>
    <s v="65 Gallon MSW Carts - Shelton"/>
    <m/>
    <m/>
    <n v="1700"/>
    <m/>
    <n v="0"/>
    <s v="City of Shelton"/>
    <m/>
    <s v="CONTAINERS"/>
    <s v="TBA"/>
    <m/>
    <m/>
    <m/>
    <d v="2017-06-30T00:00:00"/>
    <d v="2017-06-30T00:00:00"/>
    <s v="2149-17-0018-11"/>
    <n v="500"/>
    <n v="14050"/>
    <n v="46112.5"/>
    <n v="14056"/>
    <n v="46112.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4"/>
    <s v="P"/>
    <s v="Capitalized"/>
    <s v="95 Gallon Recycle Carts Green - Shelton"/>
    <m/>
    <m/>
    <n v="215"/>
    <m/>
    <n v="0"/>
    <s v="City of Shelton"/>
    <m/>
    <s v="CONTAINERS"/>
    <s v="TBA"/>
    <m/>
    <m/>
    <m/>
    <d v="2017-06-30T00:00:00"/>
    <d v="2017-06-30T00:00:00"/>
    <s v="2149-17-0018-13"/>
    <n v="500"/>
    <n v="14050"/>
    <n v="6415.06"/>
    <n v="14056"/>
    <n v="6415.0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3"/>
    <s v="P"/>
    <s v="Capitalized"/>
    <s v="95 Gallon MSW Carts - Shelton"/>
    <m/>
    <m/>
    <n v="800"/>
    <m/>
    <n v="0"/>
    <s v="City of Shelton"/>
    <m/>
    <s v="CONTAINERS"/>
    <s v="TBA"/>
    <m/>
    <m/>
    <m/>
    <d v="2017-06-30T00:00:00"/>
    <d v="2017-06-30T00:00:00"/>
    <s v="2149-17-0018-14"/>
    <n v="500"/>
    <n v="14050"/>
    <n v="21700"/>
    <n v="14056"/>
    <n v="217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2"/>
    <s v="P"/>
    <s v="Capitalized"/>
    <s v="35 gallon solid waste carts - Shelton"/>
    <m/>
    <m/>
    <n v="650"/>
    <m/>
    <n v="0"/>
    <s v="City of Shelton"/>
    <m/>
    <s v="CONTAINERS"/>
    <s v="TBA"/>
    <m/>
    <m/>
    <m/>
    <d v="2017-06-30T00:00:00"/>
    <d v="2017-06-30T00:00:00"/>
    <s v="2149-17-0018-8"/>
    <n v="500"/>
    <n v="14050"/>
    <n v="17631.25"/>
    <n v="14056"/>
    <n v="17631.2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1"/>
    <s v="P"/>
    <s v="Capitalized"/>
    <s v="95 Gallon YW Carts - Shelton"/>
    <m/>
    <m/>
    <n v="550"/>
    <m/>
    <n v="0"/>
    <s v="City of Shelton"/>
    <m/>
    <s v="CONTAINERS"/>
    <s v="TBA"/>
    <m/>
    <m/>
    <m/>
    <d v="2017-06-30T00:00:00"/>
    <d v="2017-06-30T00:00:00"/>
    <s v="2149-17-0018-15"/>
    <n v="500"/>
    <n v="14050"/>
    <n v="16410.63"/>
    <n v="14056"/>
    <n v="16410.63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90"/>
    <s v="P"/>
    <s v="Capitalized"/>
    <s v="40yd lidded roll off containers - Shelton"/>
    <m/>
    <m/>
    <n v="4"/>
    <m/>
    <n v="0"/>
    <s v="City of Shelton"/>
    <m/>
    <s v="CONTAINERS"/>
    <s v="TBA"/>
    <m/>
    <s v="40 YD"/>
    <s v="RO Box"/>
    <d v="2017-06-30T00:00:00"/>
    <d v="2017-06-30T00:00:00"/>
    <s v="2149-17-0018-6"/>
    <n v="700"/>
    <n v="14050"/>
    <n v="24000"/>
    <n v="14056"/>
    <n v="23428.48"/>
    <n v="571.52000000000044"/>
    <n v="1142.8399999999999"/>
    <n v="54260"/>
    <n v="285.7099999999999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89"/>
    <s v="P"/>
    <s v="Capitalized"/>
    <s v="95 Gallon Recycle Carts Blue - Shelton"/>
    <m/>
    <m/>
    <n v="215"/>
    <m/>
    <n v="0"/>
    <s v="City of Shelton"/>
    <m/>
    <s v="CONTAINERS"/>
    <s v="TBA"/>
    <m/>
    <m/>
    <m/>
    <d v="2017-06-30T00:00:00"/>
    <d v="2017-06-30T00:00:00"/>
    <s v="2149-17-0018-12"/>
    <n v="500"/>
    <n v="14050"/>
    <n v="6415.06"/>
    <n v="14056"/>
    <n v="6415.0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684"/>
    <s v="P"/>
    <s v="Capitalized"/>
    <s v="2014 Peterbilt 320 ASL - Shelton"/>
    <m/>
    <m/>
    <n v="1"/>
    <s v="3BPZL70X8EF226056"/>
    <n v="2014"/>
    <s v="Peterbilt"/>
    <s v="Labrie"/>
    <s v="TRUCKS AND TRAILERS"/>
    <s v="TBA"/>
    <s v="Automated Side Loader"/>
    <m/>
    <m/>
    <d v="2017-06-30T00:00:00"/>
    <d v="2017-06-30T00:00:00"/>
    <s v="2149-17-0018-5"/>
    <n v="700"/>
    <n v="14040"/>
    <n v="231300"/>
    <n v="14046"/>
    <n v="225792.87"/>
    <n v="5507.1300000000047"/>
    <n v="11014.28"/>
    <n v="51260"/>
    <n v="2753.57"/>
    <s v="P"/>
    <m/>
    <n v="40"/>
    <s v=" "/>
    <s v="STL"/>
    <s v="YES"/>
    <s v="TBD"/>
    <n v="0"/>
    <x v="20"/>
    <m/>
    <m/>
    <m/>
    <m/>
    <m/>
    <m/>
    <m/>
    <m/>
    <m/>
    <m/>
    <x v="1"/>
  </r>
  <r>
    <n v="2149"/>
    <n v="183682"/>
    <s v="P"/>
    <s v="Capitalized"/>
    <s v="2013 Peterbilt 320 ASL - Shelton"/>
    <m/>
    <m/>
    <n v="1"/>
    <s v="3BPZL70X2DF192856"/>
    <n v="2013"/>
    <s v="Peterbilt"/>
    <s v="HEIL"/>
    <s v="TRUCKS AND TRAILERS"/>
    <s v="TBA"/>
    <s v="Automated Side Loader"/>
    <m/>
    <m/>
    <d v="2017-06-30T00:00:00"/>
    <d v="2017-06-30T00:00:00"/>
    <s v="2149-17-0018-4"/>
    <n v="600"/>
    <n v="14040"/>
    <n v="215000"/>
    <n v="14046"/>
    <n v="215000"/>
    <n v="0"/>
    <n v="0"/>
    <n v="51260"/>
    <n v="0"/>
    <s v="P"/>
    <m/>
    <n v="41"/>
    <s v=" "/>
    <s v="STL"/>
    <s v="YES"/>
    <s v="TBD"/>
    <n v="0"/>
    <x v="20"/>
    <m/>
    <m/>
    <m/>
    <m/>
    <m/>
    <m/>
    <m/>
    <m/>
    <m/>
    <m/>
    <x v="1"/>
  </r>
  <r>
    <n v="2149"/>
    <n v="183382"/>
    <s v="P"/>
    <s v="Capitalized"/>
    <s v="35 Gallon MSW Carts (UTC)"/>
    <m/>
    <m/>
    <n v="950"/>
    <m/>
    <n v="0"/>
    <s v="WASTEQUIP LLC"/>
    <m/>
    <s v="CONTAINERS"/>
    <s v="TBA"/>
    <m/>
    <m/>
    <m/>
    <d v="2017-06-19T00:00:00"/>
    <d v="2017-06-19T00:00:00"/>
    <s v="2149-17-0015-1"/>
    <n v="700"/>
    <n v="14050"/>
    <n v="38121.81"/>
    <n v="14056"/>
    <n v="37214.129999999997"/>
    <n v="907.68000000000029"/>
    <n v="1815.32"/>
    <n v="54260"/>
    <n v="453.8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283"/>
    <s v="P"/>
    <s v="Capitalized"/>
    <s v="2018 Freightliner M2 REL"/>
    <m/>
    <m/>
    <n v="1"/>
    <s v="1FVHCYE9JHJG9318"/>
    <n v="2018"/>
    <s v="Freightliner"/>
    <s v="HEIL"/>
    <s v="TRUCKS AND TRAILERS"/>
    <s v="TBA"/>
    <s v="Rear Loader"/>
    <m/>
    <m/>
    <d v="2017-05-01T00:00:00"/>
    <d v="2017-05-01T00:00:00"/>
    <s v="2149-17-0009-1"/>
    <n v="1000"/>
    <n v="14040"/>
    <n v="213770.91"/>
    <n v="14046"/>
    <n v="149639.54"/>
    <n v="64131.369999999995"/>
    <n v="7125.68"/>
    <n v="51260"/>
    <n v="1781.42"/>
    <s v="P"/>
    <m/>
    <n v="22"/>
    <s v=" "/>
    <s v="STL"/>
    <s v="YES"/>
    <s v="TBD"/>
    <n v="0"/>
    <x v="20"/>
    <m/>
    <m/>
    <m/>
    <m/>
    <m/>
    <m/>
    <m/>
    <m/>
    <m/>
    <m/>
    <x v="1"/>
  </r>
  <r>
    <n v="2149"/>
    <n v="183282"/>
    <s v="P"/>
    <s v="Capitalized"/>
    <s v="Laptop and Docking Station"/>
    <m/>
    <m/>
    <n v="1"/>
    <m/>
    <n v="0"/>
    <s v="INTERJECT DATA SYSTEMS IN"/>
    <m/>
    <s v="HARDWARE AND SOFTWARE"/>
    <s v="TBA"/>
    <m/>
    <m/>
    <m/>
    <d v="2017-06-26T00:00:00"/>
    <d v="2017-06-26T00:00:00"/>
    <s v="2149-17-0016-1"/>
    <n v="300"/>
    <n v="14110"/>
    <n v="510.23"/>
    <n v="14116"/>
    <n v="510.23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138"/>
    <n v="183682"/>
    <s v="Capitalized"/>
    <s v="TT&amp;L"/>
    <m/>
    <m/>
    <n v="1"/>
    <m/>
    <n v="0"/>
    <s v="MASON COUNTY AUDITOR"/>
    <s v="Peterbilt"/>
    <s v="TRUCKS AND TRAILERS"/>
    <s v="TBA"/>
    <s v="Non-Rolling Stock"/>
    <m/>
    <m/>
    <d v="2017-06-27T00:00:00"/>
    <d v="2017-06-27T00:00:00"/>
    <s v="2149-17-0018-4"/>
    <n v="500"/>
    <n v="14040"/>
    <n v="15667.9"/>
    <n v="14046"/>
    <n v="15667.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137"/>
    <n v="183684"/>
    <s v="Capitalized"/>
    <s v="TT&amp;L"/>
    <m/>
    <m/>
    <n v="1"/>
    <m/>
    <n v="0"/>
    <s v="MASON COUNTY AUDITOR"/>
    <s v="Peterbilt"/>
    <s v="TRUCKS AND TRAILERS"/>
    <s v="TBA"/>
    <s v="Non-Rolling Stock"/>
    <m/>
    <m/>
    <d v="2017-06-27T00:00:00"/>
    <d v="2017-06-27T00:00:00"/>
    <s v="2149-17-0018-5"/>
    <n v="600"/>
    <n v="14040"/>
    <n v="19460.7"/>
    <n v="14046"/>
    <n v="19460.7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3134"/>
    <n v="183682"/>
    <s v="Capitalized"/>
    <s v="TT&amp;L"/>
    <m/>
    <m/>
    <n v="1"/>
    <m/>
    <n v="0"/>
    <s v="MASON COUNTY AUDITOR"/>
    <s v="Peterbilt"/>
    <s v="TRUCKS AND TRAILERS"/>
    <s v="TBA"/>
    <s v="Non-Rolling Stock"/>
    <m/>
    <m/>
    <d v="2017-06-27T00:00:00"/>
    <d v="2017-06-27T00:00:00"/>
    <s v="2149-17-0018-1"/>
    <n v="300"/>
    <n v="14040"/>
    <n v="1342.06"/>
    <n v="14046"/>
    <n v="1342.06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817"/>
    <s v="P"/>
    <s v="Capitalized"/>
    <s v="48 Gallon MSW Carts (UTC)"/>
    <m/>
    <m/>
    <n v="783"/>
    <m/>
    <n v="0"/>
    <s v="WASTEQUIP LLC"/>
    <m/>
    <s v="CONTAINERS"/>
    <s v="TBA"/>
    <m/>
    <m/>
    <m/>
    <d v="2017-06-19T00:00:00"/>
    <d v="2017-06-19T00:00:00"/>
    <s v="2149-17-0015-1"/>
    <n v="700"/>
    <n v="14050"/>
    <n v="33739.599999999999"/>
    <n v="14056"/>
    <n v="32936.25"/>
    <n v="803.34999999999854"/>
    <n v="1606.64"/>
    <n v="54260"/>
    <n v="401.6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816"/>
    <s v="P"/>
    <s v="Capitalized"/>
    <s v="35 Gallon MSW Carts (UTC)"/>
    <m/>
    <m/>
    <n v="950"/>
    <m/>
    <n v="0"/>
    <s v="WASTEQUIP LLC"/>
    <m/>
    <s v="CONTAINERS"/>
    <s v="TBA"/>
    <m/>
    <m/>
    <m/>
    <d v="2017-06-09T00:00:00"/>
    <d v="2017-06-09T00:00:00"/>
    <s v="2149-17-0015-1"/>
    <n v="700"/>
    <n v="14050"/>
    <n v="38121.81"/>
    <n v="14056"/>
    <n v="37667.96"/>
    <n v="453.84999999999854"/>
    <n v="1815.32"/>
    <n v="54260"/>
    <n v="453.8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596"/>
    <s v="P"/>
    <s v="Capitalized"/>
    <s v="96 Gallon MSW Totes UTC"/>
    <m/>
    <m/>
    <n v="280"/>
    <m/>
    <n v="0"/>
    <s v="WASTEQUIP LLC"/>
    <m/>
    <s v="CONTAINERS"/>
    <s v="TBA"/>
    <m/>
    <m/>
    <m/>
    <d v="2017-06-09T00:00:00"/>
    <d v="2017-06-09T00:00:00"/>
    <s v="2149-17-0015-1"/>
    <n v="700"/>
    <n v="14050"/>
    <n v="14281.93"/>
    <n v="14056"/>
    <n v="14111.92"/>
    <n v="170.01000000000022"/>
    <n v="680.08"/>
    <n v="54260"/>
    <n v="170.0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595"/>
    <s v="P"/>
    <s v="Capitalized"/>
    <s v="64 Gallon MSW Totes UTC"/>
    <m/>
    <m/>
    <n v="660"/>
    <m/>
    <n v="0"/>
    <s v="WASTEQUIP LLC"/>
    <m/>
    <s v="CONTAINERS"/>
    <s v="TBA"/>
    <m/>
    <m/>
    <m/>
    <d v="2017-06-09T00:00:00"/>
    <d v="2017-06-09T00:00:00"/>
    <s v="2149-17-0015-1"/>
    <n v="700"/>
    <n v="14050"/>
    <n v="29188.93"/>
    <n v="14056"/>
    <n v="28841.47"/>
    <n v="347.45999999999913"/>
    <n v="1389.96"/>
    <n v="54260"/>
    <n v="347.4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212"/>
    <s v="P"/>
    <s v="Capitalized"/>
    <s v="HP ProBook 640 G2 (Ops mgr)"/>
    <m/>
    <m/>
    <n v="1"/>
    <m/>
    <n v="0"/>
    <s v="CDW"/>
    <m/>
    <s v="HARDWARE AND SOFTWARE"/>
    <s v="TBA"/>
    <m/>
    <m/>
    <m/>
    <d v="2017-05-25T00:00:00"/>
    <d v="2017-05-25T00:00:00"/>
    <s v="2149-17-0017-1"/>
    <n v="300"/>
    <n v="14110"/>
    <n v="1360.13"/>
    <n v="14116"/>
    <n v="1360.13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211"/>
    <s v="P"/>
    <s v="Capitalized"/>
    <s v="HP ProBook 640 G2"/>
    <m/>
    <m/>
    <n v="1"/>
    <m/>
    <n v="0"/>
    <s v="CDW"/>
    <m/>
    <s v="HARDWARE AND SOFTWARE"/>
    <s v="TBA"/>
    <m/>
    <m/>
    <m/>
    <d v="2017-04-27T00:00:00"/>
    <d v="2017-04-27T00:00:00"/>
    <s v="2149-17-0016-1"/>
    <n v="300"/>
    <n v="14110"/>
    <n v="1016.67"/>
    <n v="14116"/>
    <n v="1016.67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210"/>
    <s v="P"/>
    <s v="Capitalized"/>
    <s v="Laptop for MM"/>
    <m/>
    <m/>
    <n v="1"/>
    <m/>
    <n v="0"/>
    <s v="CDW"/>
    <m/>
    <s v="HARDWARE AND SOFTWARE"/>
    <s v="TBA"/>
    <m/>
    <m/>
    <m/>
    <d v="2017-04-27T00:00:00"/>
    <d v="2017-04-27T00:00:00"/>
    <s v="2149-17-0016-1"/>
    <n v="300"/>
    <n v="14110"/>
    <n v="1016.66"/>
    <n v="14116"/>
    <n v="1016.66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0523"/>
    <n v="80334"/>
    <s v="Capitalized"/>
    <s v="Engine Overhaul Kit for FAS#80334"/>
    <m/>
    <m/>
    <n v="1"/>
    <m/>
    <n v="0"/>
    <s v="Peterbilt"/>
    <m/>
    <s v="TRUCKS AND TRAILERS"/>
    <s v="TBA"/>
    <s v="Non-Rolling Stock"/>
    <m/>
    <m/>
    <d v="2017-04-30T00:00:00"/>
    <d v="2017-04-30T00:00:00"/>
    <s v="2149-17-0014-1"/>
    <n v="300"/>
    <n v="14040"/>
    <n v="23393.360000000001"/>
    <n v="14046"/>
    <n v="23393.36000000000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8888"/>
    <s v="P"/>
    <s v="Capitalized"/>
    <s v="Dark Gray Recy 96 gal Tote with blue lids"/>
    <m/>
    <m/>
    <n v="524"/>
    <m/>
    <n v="0"/>
    <s v="WASTEQUIP LLC"/>
    <m/>
    <s v="CONTAINERS"/>
    <s v="TBA"/>
    <m/>
    <m/>
    <m/>
    <d v="2017-03-21T00:00:00"/>
    <d v="2017-03-21T00:00:00"/>
    <s v="2149-17-0013-1"/>
    <n v="700"/>
    <n v="14050"/>
    <n v="28674.51"/>
    <n v="14056"/>
    <n v="28674.51"/>
    <n v="0"/>
    <n v="1024.08"/>
    <n v="54260"/>
    <n v="341.3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8887"/>
    <s v="P"/>
    <s v="Capitalized"/>
    <s v="Dark Grey MSW 96 gal Totes with green lids"/>
    <m/>
    <m/>
    <n v="100"/>
    <m/>
    <n v="0"/>
    <s v="WASTEQUIP LLC"/>
    <m/>
    <s v="CONTAINERS"/>
    <s v="TBA"/>
    <m/>
    <m/>
    <m/>
    <d v="2017-03-21T00:00:00"/>
    <d v="2017-03-21T00:00:00"/>
    <s v="2149-17-0013-2"/>
    <n v="700"/>
    <n v="14050"/>
    <n v="5201"/>
    <n v="14056"/>
    <n v="5201"/>
    <n v="0"/>
    <n v="185.75"/>
    <n v="54260"/>
    <n v="61.9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7913"/>
    <s v="P"/>
    <s v="Capitalized"/>
    <s v="2yd REL Containers"/>
    <m/>
    <m/>
    <n v="40"/>
    <m/>
    <n v="0"/>
    <s v="CAPITAL INDUSTRIES INC"/>
    <m/>
    <s v="CONTAINERS"/>
    <s v="TBA"/>
    <m/>
    <s v="2 YD"/>
    <s v="FEL/REL/SL Metal"/>
    <d v="2017-03-10T00:00:00"/>
    <d v="2017-03-10T00:00:00"/>
    <s v="2149-17-0012-1"/>
    <n v="1200"/>
    <n v="14050"/>
    <n v="19880"/>
    <n v="14056"/>
    <n v="11872.82"/>
    <n v="8007.18"/>
    <n v="552.24"/>
    <n v="54260"/>
    <n v="138.0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7912"/>
    <s v="P"/>
    <s v="Capitalized"/>
    <s v="1YD REL Containers"/>
    <m/>
    <m/>
    <n v="5"/>
    <m/>
    <n v="0"/>
    <s v="CAPITAL INDUSTRIES INC"/>
    <m/>
    <s v="CONTAINERS"/>
    <s v="TBA"/>
    <m/>
    <s v="1 YD"/>
    <s v="FEL/REL/SL Metal"/>
    <d v="2017-03-10T00:00:00"/>
    <d v="2017-03-10T00:00:00"/>
    <s v="2149-17-0012-1"/>
    <n v="1200"/>
    <n v="14050"/>
    <n v="2240"/>
    <n v="14056"/>
    <n v="1337.82"/>
    <n v="902.18000000000006"/>
    <n v="62.24"/>
    <n v="54260"/>
    <n v="15.5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7911"/>
    <s v="P"/>
    <s v="Capitalized"/>
    <s v="1.5yd Commercial REL Containers"/>
    <m/>
    <m/>
    <n v="36"/>
    <m/>
    <n v="0"/>
    <s v="CAPITAL INDUSTRIES INC"/>
    <m/>
    <s v="CONTAINERS"/>
    <s v="TBA"/>
    <m/>
    <s v="1.5 YD"/>
    <s v="FEL/REL/SL Metal"/>
    <d v="2017-03-10T00:00:00"/>
    <d v="2017-03-10T00:00:00"/>
    <s v="2149-17-0012-1"/>
    <n v="1200"/>
    <n v="14050"/>
    <n v="16560"/>
    <n v="14056"/>
    <n v="9890"/>
    <n v="6670"/>
    <n v="460"/>
    <n v="54260"/>
    <n v="11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4777"/>
    <n v="174774"/>
    <s v="Capitalized"/>
    <s v="BodyRebuild"/>
    <m/>
    <m/>
    <n v="1"/>
    <m/>
    <n v="0"/>
    <s v="Mcneilus"/>
    <m/>
    <s v="TRUCKS AND TRAILERS"/>
    <s v="TBA"/>
    <s v="Non-Rolling Stock"/>
    <m/>
    <m/>
    <d v="2016-07-26T00:00:00"/>
    <d v="2016-07-26T00:00:00"/>
    <s v="2111-16-0028-1"/>
    <n v="300"/>
    <n v="14040"/>
    <n v="25528.62"/>
    <n v="14046"/>
    <n v="25528.6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4776"/>
    <n v="174774"/>
    <s v="Capitalized"/>
    <s v="2008 Peterbilt ASL"/>
    <m/>
    <m/>
    <n v="1"/>
    <s v="3BPZL00X98F718428"/>
    <n v="2008"/>
    <m/>
    <m/>
    <s v="TRUCKS AND TRAILERS"/>
    <s v="TBA"/>
    <s v="Non-Rolling Stock"/>
    <m/>
    <m/>
    <d v="2008-01-01T00:00:00"/>
    <d v="2008-01-01T00:00:00"/>
    <s v="07-2111-019"/>
    <n v="911"/>
    <n v="14040"/>
    <n v="96133.02"/>
    <n v="14046"/>
    <n v="96133.02"/>
    <n v="0"/>
    <n v="0"/>
    <n v="51260"/>
    <n v="0"/>
    <s v="P"/>
    <n v="0"/>
    <n v="812"/>
    <s v=" "/>
    <s v="STL"/>
    <s v="YES"/>
    <s v="TBD"/>
    <n v="0"/>
    <x v="20"/>
    <m/>
    <m/>
    <m/>
    <m/>
    <m/>
    <m/>
    <m/>
    <m/>
    <m/>
    <m/>
    <x v="1"/>
  </r>
  <r>
    <n v="2149"/>
    <n v="174775"/>
    <n v="174774"/>
    <s v="Capitalized"/>
    <s v="LICENSING FOR VIN 718428"/>
    <m/>
    <m/>
    <n v="1"/>
    <s v="3BPZL00X98F718428"/>
    <n v="2008"/>
    <m/>
    <m/>
    <s v="TRUCKS AND TRAILERS"/>
    <s v="TBA"/>
    <s v="Non-Rolling Stock"/>
    <m/>
    <m/>
    <d v="2007-11-13T00:00:00"/>
    <d v="2007-11-13T00:00:00"/>
    <s v="07-2111-019"/>
    <n v="1000"/>
    <n v="14040"/>
    <n v="861.33"/>
    <n v="14046"/>
    <n v="861.33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4774"/>
    <s v="P"/>
    <s v="Capitalized"/>
    <s v="2008 Peterbilt 320 ASL"/>
    <m/>
    <m/>
    <n v="1"/>
    <s v="3BPZL00X98F718428"/>
    <n v="2008"/>
    <s v="Peterbilt"/>
    <s v="McNeilus"/>
    <s v="TRUCKS AND TRAILERS"/>
    <s v="TBA"/>
    <s v="Automated Side Loader"/>
    <m/>
    <m/>
    <d v="2007-11-05T00:00:00"/>
    <d v="2007-11-05T00:00:00"/>
    <s v="07-2111-019"/>
    <n v="1000"/>
    <n v="14040"/>
    <n v="128398.25"/>
    <n v="14046"/>
    <n v="128398.25"/>
    <n v="0"/>
    <n v="0"/>
    <n v="51260"/>
    <n v="0"/>
    <s v="P"/>
    <n v="0"/>
    <n v="16"/>
    <s v=" "/>
    <s v="STL"/>
    <s v="YES"/>
    <s v="TBD"/>
    <n v="0"/>
    <x v="20"/>
    <m/>
    <m/>
    <m/>
    <m/>
    <m/>
    <m/>
    <m/>
    <m/>
    <m/>
    <m/>
    <x v="1"/>
  </r>
  <r>
    <n v="2149"/>
    <n v="174663"/>
    <n v="174656"/>
    <s v="Capitalized"/>
    <s v="Repairs to Long Haul Truck #349"/>
    <m/>
    <m/>
    <n v="1"/>
    <m/>
    <n v="2000"/>
    <m/>
    <m/>
    <s v="TRUCKS AND TRAILERS"/>
    <s v="TBA"/>
    <s v="Non-Rolling Stock"/>
    <m/>
    <m/>
    <d v="2004-08-06T00:00:00"/>
    <d v="2004-08-06T00:00:00"/>
    <m/>
    <n v="300"/>
    <n v="14040"/>
    <n v="19279.099999999999"/>
    <n v="14046"/>
    <n v="19279.099999999999"/>
    <n v="0"/>
    <n v="0"/>
    <n v="51260"/>
    <n v="0"/>
    <s v="P"/>
    <n v="0"/>
    <n v="349"/>
    <s v=" "/>
    <s v="STL"/>
    <s v="YES"/>
    <s v="TBD"/>
    <n v="0"/>
    <x v="20"/>
    <m/>
    <m/>
    <m/>
    <m/>
    <m/>
    <m/>
    <m/>
    <m/>
    <m/>
    <m/>
    <x v="1"/>
  </r>
  <r>
    <n v="2149"/>
    <n v="174662"/>
    <n v="174656"/>
    <s v="Capitalized"/>
    <s v="Sales Tax on Repairs to Long Haul Truck #349"/>
    <m/>
    <m/>
    <n v="1"/>
    <m/>
    <n v="2000"/>
    <m/>
    <m/>
    <s v="TRUCKS AND TRAILERS"/>
    <s v="TBA"/>
    <s v="Non-Rolling Stock"/>
    <m/>
    <m/>
    <d v="2004-09-30T00:00:00"/>
    <d v="2004-09-30T00:00:00"/>
    <m/>
    <n v="300"/>
    <n v="14040"/>
    <n v="156.86000000000001"/>
    <n v="14046"/>
    <n v="156.86000000000001"/>
    <n v="0"/>
    <n v="0"/>
    <n v="51260"/>
    <n v="0"/>
    <s v="P"/>
    <n v="0"/>
    <n v="349"/>
    <s v=" "/>
    <s v="STL"/>
    <s v="YES"/>
    <s v="TBD"/>
    <n v="0"/>
    <x v="20"/>
    <m/>
    <m/>
    <m/>
    <m/>
    <m/>
    <m/>
    <m/>
    <m/>
    <m/>
    <m/>
    <x v="1"/>
  </r>
  <r>
    <n v="2149"/>
    <n v="174661"/>
    <n v="174656"/>
    <s v="Capitalized"/>
    <s v="Sales Tax on Repairs to Long Haul Truck #349"/>
    <m/>
    <m/>
    <n v="1"/>
    <m/>
    <n v="2000"/>
    <m/>
    <m/>
    <s v="TRUCKS AND TRAILERS"/>
    <s v="TBA"/>
    <s v="Non-Rolling Stock"/>
    <m/>
    <m/>
    <d v="2004-08-31T00:00:00"/>
    <d v="2004-08-31T00:00:00"/>
    <m/>
    <n v="300"/>
    <n v="14040"/>
    <n v="1465.21"/>
    <n v="14046"/>
    <n v="1465.21"/>
    <n v="0"/>
    <n v="0"/>
    <n v="51260"/>
    <n v="0"/>
    <s v="P"/>
    <n v="0"/>
    <n v="349"/>
    <s v=" "/>
    <s v="STL"/>
    <s v="YES"/>
    <s v="TBD"/>
    <n v="0"/>
    <x v="20"/>
    <m/>
    <m/>
    <m/>
    <m/>
    <m/>
    <m/>
    <m/>
    <m/>
    <m/>
    <m/>
    <x v="1"/>
  </r>
  <r>
    <n v="2149"/>
    <n v="174660"/>
    <n v="174656"/>
    <s v="Capitalized"/>
    <s v="Repairs to Long Haul Truck #349"/>
    <m/>
    <m/>
    <n v="1"/>
    <m/>
    <n v="2000"/>
    <m/>
    <m/>
    <s v="TRUCKS AND TRAILERS"/>
    <s v="TBA"/>
    <s v="Non-Rolling Stock"/>
    <m/>
    <m/>
    <d v="2004-09-21T00:00:00"/>
    <d v="2004-09-21T00:00:00"/>
    <m/>
    <n v="300"/>
    <n v="14040"/>
    <n v="2064"/>
    <n v="14046"/>
    <n v="2064"/>
    <n v="0"/>
    <n v="0"/>
    <n v="51260"/>
    <n v="0"/>
    <s v="P"/>
    <n v="0"/>
    <n v="349"/>
    <s v=" "/>
    <s v="STL"/>
    <s v="YES"/>
    <s v="TBD"/>
    <n v="0"/>
    <x v="20"/>
    <m/>
    <m/>
    <m/>
    <m/>
    <m/>
    <m/>
    <m/>
    <m/>
    <m/>
    <m/>
    <x v="1"/>
  </r>
  <r>
    <n v="2149"/>
    <n v="174659"/>
    <n v="174656"/>
    <s v="Capitalized"/>
    <s v="Engine Rebuild- Truck 355- Final Pmt"/>
    <m/>
    <m/>
    <n v="1"/>
    <m/>
    <n v="0"/>
    <m/>
    <m/>
    <s v="TRUCKS AND TRAILERS"/>
    <s v="TBA"/>
    <s v="Non-Rolling Stock"/>
    <m/>
    <m/>
    <d v="2012-09-05T00:00:00"/>
    <d v="2012-09-05T00:00:00"/>
    <s v="2121-12-0002-1"/>
    <n v="300"/>
    <n v="14040"/>
    <n v="25500"/>
    <n v="14046"/>
    <n v="25500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4658"/>
    <n v="174656"/>
    <s v="Capitalized"/>
    <s v="Engine Rebuild- Truck 355- Partial Pmt"/>
    <m/>
    <m/>
    <n v="1"/>
    <m/>
    <n v="0"/>
    <m/>
    <m/>
    <s v="TRUCKS AND TRAILERS"/>
    <s v="TBA"/>
    <s v="Non-Rolling Stock"/>
    <m/>
    <m/>
    <d v="2012-09-05T00:00:00"/>
    <d v="2012-09-05T00:00:00"/>
    <s v="2121-12-0002-1"/>
    <n v="300"/>
    <n v="14040"/>
    <n v="10263.469999999999"/>
    <n v="14046"/>
    <n v="10263.46999999999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4657"/>
    <n v="174656"/>
    <s v="Capitalized"/>
    <s v="Model 378 Road Tractor"/>
    <m/>
    <m/>
    <n v="1"/>
    <s v="1XPFDB9XXYD517349"/>
    <n v="2000"/>
    <s v="Peterbilt"/>
    <s v="Other"/>
    <s v="TRUCKS AND TRAILERS"/>
    <s v="TBA"/>
    <s v="Road Tractor"/>
    <m/>
    <m/>
    <d v="2004-04-23T00:00:00"/>
    <d v="2004-04-23T00:00:00"/>
    <m/>
    <n v="300"/>
    <n v="14040"/>
    <n v="35000"/>
    <n v="14046"/>
    <n v="35000"/>
    <n v="0"/>
    <n v="0"/>
    <n v="51260"/>
    <n v="0"/>
    <s v="A"/>
    <s v="Empire Disposal"/>
    <n v="349"/>
    <s v=" "/>
    <s v="STL"/>
    <s v="YES"/>
    <s v="TBD"/>
    <n v="0"/>
    <x v="20"/>
    <m/>
    <m/>
    <m/>
    <m/>
    <m/>
    <m/>
    <m/>
    <m/>
    <m/>
    <m/>
    <x v="1"/>
  </r>
  <r>
    <n v="2149"/>
    <n v="174656"/>
    <s v="P"/>
    <s v="Capitalized"/>
    <s v="Peterbilt 378 tractor"/>
    <m/>
    <m/>
    <n v="1"/>
    <s v="1XPFDB9XXYD517349"/>
    <n v="2000"/>
    <s v="Peterbilt 378"/>
    <s v="Tractor"/>
    <s v="TRUCKS AND TRAILERS"/>
    <s v="TBA"/>
    <s v="Road Tractor"/>
    <m/>
    <m/>
    <d v="2004-04-23T00:00:00"/>
    <d v="2004-04-23T00:00:00"/>
    <m/>
    <n v="300"/>
    <n v="14040"/>
    <n v="35000"/>
    <n v="14046"/>
    <n v="35000"/>
    <n v="0"/>
    <n v="0"/>
    <n v="51260"/>
    <n v="0"/>
    <s v="A"/>
    <s v="Empire Disposal"/>
    <n v="18"/>
    <s v=" "/>
    <s v="STL"/>
    <s v="YES"/>
    <s v="TBD"/>
    <n v="0"/>
    <x v="20"/>
    <m/>
    <m/>
    <m/>
    <m/>
    <m/>
    <m/>
    <m/>
    <m/>
    <m/>
    <m/>
    <x v="1"/>
  </r>
  <r>
    <n v="2149"/>
    <n v="174341"/>
    <n v="56939"/>
    <s v="Capitalized"/>
    <s v="Service Truck Crane Installation"/>
    <m/>
    <m/>
    <n v="1"/>
    <m/>
    <n v="0"/>
    <s v="Capital Industries"/>
    <m/>
    <s v="TRUCKS AND TRAILERS"/>
    <s v="TBA"/>
    <s v="Non-Rolling Stock"/>
    <m/>
    <m/>
    <d v="2017-01-01T00:00:00"/>
    <d v="2017-01-01T00:00:00"/>
    <s v="2149-16-0031-1"/>
    <n v="300"/>
    <n v="14040"/>
    <n v="15393.02"/>
    <n v="14046"/>
    <n v="15393.0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2664"/>
    <s v="P"/>
    <s v="Capitalized"/>
    <s v="20 yd roll off box"/>
    <m/>
    <m/>
    <n v="4"/>
    <m/>
    <n v="0"/>
    <s v="CAPITAL INDUSTRIES, INC."/>
    <m/>
    <s v="CONTAINERS"/>
    <s v="TBA"/>
    <m/>
    <s v="20 YD"/>
    <s v="RO Box"/>
    <d v="2017-01-01T00:00:00"/>
    <d v="2017-01-01T00:00:00"/>
    <s v="2149-16-0005-1"/>
    <n v="1200"/>
    <n v="14050"/>
    <n v="23420"/>
    <n v="14056"/>
    <n v="14312.25"/>
    <n v="9107.75"/>
    <n v="650.55999999999995"/>
    <n v="54260"/>
    <n v="162.63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2663"/>
    <s v="P"/>
    <s v="Capitalized"/>
    <s v="40yd boxes with lids"/>
    <m/>
    <m/>
    <n v="4"/>
    <m/>
    <n v="0"/>
    <s v="CAPITAL INDUSTRIES, INC."/>
    <m/>
    <s v="CONTAINERS"/>
    <s v="TBA"/>
    <m/>
    <s v="40 YD"/>
    <s v="RO Box"/>
    <d v="2017-01-01T00:00:00"/>
    <d v="2017-01-01T00:00:00"/>
    <s v="2149-16-0005-1"/>
    <n v="1200"/>
    <n v="14050"/>
    <n v="27792"/>
    <n v="14056"/>
    <n v="16984"/>
    <n v="10808"/>
    <n v="772"/>
    <n v="54260"/>
    <n v="19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2613"/>
    <n v="171238"/>
    <s v="Capitalized"/>
    <s v="Final Scale Installation"/>
    <m/>
    <m/>
    <n v="1"/>
    <m/>
    <n v="0"/>
    <s v="UNITEC CORPORATION"/>
    <m/>
    <s v="LAND IMPROVEMENTS"/>
    <s v="TBA"/>
    <m/>
    <m/>
    <m/>
    <d v="2017-01-01T00:00:00"/>
    <d v="2017-01-01T00:00:00"/>
    <s v="2149-16-0008-1"/>
    <n v="911"/>
    <n v="14010"/>
    <n v="8492.0300000000007"/>
    <n v="14016"/>
    <n v="6279.82"/>
    <n v="2212.2100000000009"/>
    <n v="285.44"/>
    <n v="57260"/>
    <n v="71.3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697"/>
    <s v="P"/>
    <s v="Capitalized"/>
    <s v="Shop Laptop Software"/>
    <m/>
    <m/>
    <n v="1"/>
    <m/>
    <n v="0"/>
    <s v="Nexia Tech"/>
    <m/>
    <s v="HARDWARE AND SOFTWARE"/>
    <s v="TBA"/>
    <m/>
    <m/>
    <m/>
    <d v="2016-09-08T00:00:00"/>
    <d v="2016-09-08T00:00:00"/>
    <s v="2149-16-0028-1"/>
    <n v="300"/>
    <n v="14110"/>
    <n v="7381.27"/>
    <n v="14116"/>
    <n v="7381.27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239"/>
    <n v="169283"/>
    <s v="Capitalized"/>
    <s v="Software for Diagnostic Laptop"/>
    <m/>
    <m/>
    <n v="1"/>
    <m/>
    <n v="0"/>
    <s v="INTERJECT DATA SYSTEMS IN"/>
    <m/>
    <s v="HARDWARE AND SOFTWARE"/>
    <s v="TBA"/>
    <m/>
    <m/>
    <m/>
    <d v="2016-09-08T00:00:00"/>
    <d v="2016-09-08T00:00:00"/>
    <s v="2149-16-0028-1"/>
    <n v="300"/>
    <n v="14110"/>
    <n v="495"/>
    <n v="14116"/>
    <n v="49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238"/>
    <s v="P"/>
    <s v="Capitalized"/>
    <s v="Scales"/>
    <m/>
    <m/>
    <n v="1"/>
    <m/>
    <n v="0"/>
    <s v="TREND SERVICES INC"/>
    <m/>
    <s v="LAND IMPROVEMENTS"/>
    <s v="TBA"/>
    <m/>
    <m/>
    <m/>
    <d v="2016-11-16T00:00:00"/>
    <d v="2016-11-16T00:00:00"/>
    <s v="2149-16-0008-1"/>
    <n v="1000"/>
    <n v="14010"/>
    <n v="79510.149999999994"/>
    <n v="14016"/>
    <n v="58970.05"/>
    <n v="20540.099999999991"/>
    <n v="2650.32"/>
    <n v="57260"/>
    <n v="662.5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078"/>
    <s v="P"/>
    <s v="Capitalized"/>
    <s v="New Radio System (29 Radios)"/>
    <m/>
    <m/>
    <n v="1"/>
    <m/>
    <n v="0"/>
    <s v="WHISLER COMMUNICATIONS"/>
    <m/>
    <s v="SHOP EQUIPMENT"/>
    <s v="TBA"/>
    <m/>
    <m/>
    <m/>
    <d v="2016-12-12T00:00:00"/>
    <d v="2016-12-12T00:00:00"/>
    <s v="2149-16-0030-1"/>
    <n v="500"/>
    <n v="14070"/>
    <n v="22670.1"/>
    <n v="14076"/>
    <n v="22670.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0260"/>
    <s v="P"/>
    <s v="Capitalized"/>
    <s v="Zamboni Tennant Scrubber"/>
    <m/>
    <m/>
    <n v="1"/>
    <s v="5680-10611542"/>
    <n v="2013"/>
    <s v="Tennant"/>
    <s v="NA"/>
    <s v="HEAVY EQUIPMENT"/>
    <s v="TBA"/>
    <s v="Non-Rolling Stock"/>
    <m/>
    <m/>
    <d v="2016-11-09T00:00:00"/>
    <d v="2016-11-09T00:00:00"/>
    <s v="2149-16-0027-1"/>
    <n v="600"/>
    <n v="14030"/>
    <n v="9792"/>
    <n v="14036"/>
    <n v="979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620"/>
    <s v="P"/>
    <s v="Capitalized"/>
    <s v="35 Gallon MSW Carts"/>
    <m/>
    <m/>
    <n v="750"/>
    <m/>
    <n v="0"/>
    <s v="TOTER LLC"/>
    <m/>
    <s v="CONTAINERS"/>
    <s v="TBA"/>
    <m/>
    <m/>
    <m/>
    <d v="2016-11-01T00:00:00"/>
    <d v="2016-11-01T00:00:00"/>
    <s v="2149-16-0025-1"/>
    <n v="700"/>
    <n v="14050"/>
    <n v="28277.81"/>
    <n v="14056"/>
    <n v="28277.8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619"/>
    <s v="P"/>
    <s v="Capitalized"/>
    <s v="35 Gallon MSW Carts"/>
    <m/>
    <m/>
    <n v="750"/>
    <m/>
    <n v="0"/>
    <s v="TOTER LLC"/>
    <m/>
    <s v="CONTAINERS"/>
    <s v="TBA"/>
    <m/>
    <m/>
    <m/>
    <d v="2016-11-01T00:00:00"/>
    <d v="2016-11-01T00:00:00"/>
    <s v="2149-16-0025-1"/>
    <n v="700"/>
    <n v="14050"/>
    <n v="30402.240000000002"/>
    <n v="14056"/>
    <n v="30402.24000000000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572"/>
    <s v="P"/>
    <s v="Capitalized"/>
    <s v="21 Gallon MSW Carts"/>
    <m/>
    <m/>
    <n v="10"/>
    <m/>
    <n v="0"/>
    <s v="TOTER LLC"/>
    <m/>
    <s v="CONTAINERS"/>
    <s v="TBA"/>
    <m/>
    <m/>
    <m/>
    <d v="2016-11-01T00:00:00"/>
    <d v="2016-11-01T00:00:00"/>
    <s v="2149-16-0025-1"/>
    <n v="700"/>
    <n v="14050"/>
    <n v="344.49"/>
    <n v="14056"/>
    <n v="344.4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571"/>
    <s v="P"/>
    <s v="Capitalized"/>
    <s v="48 Gallon MSW Carts"/>
    <m/>
    <m/>
    <n v="463"/>
    <m/>
    <n v="0"/>
    <s v="TOTER LLC"/>
    <m/>
    <s v="CONTAINERS"/>
    <s v="TBA"/>
    <m/>
    <m/>
    <m/>
    <d v="2016-11-01T00:00:00"/>
    <d v="2016-11-01T00:00:00"/>
    <s v="2149-16-0025-1"/>
    <n v="700"/>
    <n v="14050"/>
    <n v="20560.86"/>
    <n v="14056"/>
    <n v="20560.8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570"/>
    <s v="P"/>
    <s v="Capitalized"/>
    <s v="96 Gallon MSW Carts"/>
    <m/>
    <m/>
    <n v="100"/>
    <m/>
    <n v="0"/>
    <s v="TOTER LLC"/>
    <m/>
    <s v="CONTAINERS"/>
    <s v="TBA"/>
    <m/>
    <m/>
    <m/>
    <d v="2016-11-01T00:00:00"/>
    <d v="2016-11-01T00:00:00"/>
    <s v="2149-16-0025-1"/>
    <n v="700"/>
    <n v="14050"/>
    <n v="5219.6400000000003"/>
    <n v="14056"/>
    <n v="5219.6400000000003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569"/>
    <s v="P"/>
    <s v="Capitalized"/>
    <s v="64 Gallon MSW Carts"/>
    <m/>
    <m/>
    <n v="377"/>
    <m/>
    <n v="0"/>
    <s v="TOTER LLC"/>
    <m/>
    <s v="CONTAINERS"/>
    <s v="TBA"/>
    <m/>
    <m/>
    <m/>
    <d v="2016-11-01T00:00:00"/>
    <d v="2016-11-01T00:00:00"/>
    <s v="2149-16-0025-1"/>
    <n v="700"/>
    <n v="14050"/>
    <n v="17324.77"/>
    <n v="14056"/>
    <n v="17324.77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283"/>
    <s v="P"/>
    <s v="Capitalized"/>
    <s v="Panasonic Toughbook 53 Lite"/>
    <m/>
    <m/>
    <n v="1"/>
    <m/>
    <n v="0"/>
    <s v="CDW"/>
    <m/>
    <s v="HARDWARE AND SOFTWARE"/>
    <s v="TBA"/>
    <m/>
    <m/>
    <m/>
    <d v="2016-09-08T00:00:00"/>
    <d v="2016-09-08T00:00:00"/>
    <s v="2149-16-0028-1"/>
    <n v="200"/>
    <n v="14110"/>
    <n v="1425.16"/>
    <n v="14116"/>
    <n v="1425.16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9240"/>
    <s v="P"/>
    <s v="Capitalized"/>
    <s v="2006 Walking Floor Model ATSLT 123 ft3"/>
    <m/>
    <m/>
    <n v="1"/>
    <s v="5RESZ03876S062031"/>
    <n v="2006"/>
    <s v="Puget Suond Truck Sales"/>
    <m/>
    <s v="TRUCKS AND TRAILERS"/>
    <s v="TBA"/>
    <s v="Other Trailer"/>
    <m/>
    <m/>
    <d v="2016-10-14T00:00:00"/>
    <d v="2016-10-14T00:00:00"/>
    <s v="2149-16-0007-1"/>
    <n v="500"/>
    <n v="14040"/>
    <n v="45489"/>
    <n v="14046"/>
    <n v="45489"/>
    <n v="0"/>
    <n v="0"/>
    <n v="51260"/>
    <n v="0"/>
    <s v="P"/>
    <m/>
    <n v="8013"/>
    <s v=" "/>
    <s v="STL"/>
    <s v="YES"/>
    <s v="TBD"/>
    <n v="0"/>
    <x v="20"/>
    <m/>
    <m/>
    <m/>
    <m/>
    <m/>
    <m/>
    <m/>
    <m/>
    <m/>
    <m/>
    <x v="1"/>
  </r>
  <r>
    <n v="2149"/>
    <n v="168865"/>
    <s v="P"/>
    <s v="Capitalized"/>
    <s v="96 Gallon Recycle Carts"/>
    <m/>
    <m/>
    <n v="353"/>
    <m/>
    <n v="0"/>
    <s v="TOTER LLC"/>
    <m/>
    <s v="CONTAINERS"/>
    <s v="TBA"/>
    <m/>
    <m/>
    <m/>
    <d v="2016-10-11T00:00:00"/>
    <d v="2016-10-11T00:00:00"/>
    <s v="2149-16-0026-1"/>
    <n v="700"/>
    <n v="14050"/>
    <n v="16852.22"/>
    <n v="14056"/>
    <n v="16852.2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65805"/>
    <s v="P"/>
    <s v="Capitalized"/>
    <s v="(30) Toughsleeves for tablets"/>
    <m/>
    <m/>
    <n v="1"/>
    <m/>
    <n v="0"/>
    <s v="ProClips"/>
    <m/>
    <s v="HARDWARE AND SOFTWARE"/>
    <s v="TBA"/>
    <m/>
    <m/>
    <m/>
    <d v="2016-06-01T00:00:00"/>
    <d v="2016-06-01T00:00:00"/>
    <s v="2149-16-0017-1"/>
    <n v="100"/>
    <n v="14110"/>
    <n v="6255.46"/>
    <n v="14116"/>
    <n v="6255.46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9763"/>
    <s v="P"/>
    <s v="Capitalized"/>
    <s v="Hot Water Pressure Washer"/>
    <m/>
    <m/>
    <n v="1"/>
    <m/>
    <n v="0"/>
    <s v="TEMCO Distributers"/>
    <m/>
    <s v="SHOP EQUIPMENT"/>
    <s v="TBA"/>
    <m/>
    <m/>
    <m/>
    <d v="2016-06-08T00:00:00"/>
    <d v="2016-06-08T00:00:00"/>
    <s v="2149-16-0023-1"/>
    <n v="500"/>
    <n v="14070"/>
    <n v="12072.05"/>
    <n v="14076"/>
    <n v="12072.05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9712"/>
    <s v="P"/>
    <s v="Capitalized"/>
    <s v="2007 Hyster forklift H110FT"/>
    <m/>
    <m/>
    <n v="1"/>
    <s v="N005V02874E"/>
    <n v="2007"/>
    <s v="Hyster"/>
    <s v="Hyster"/>
    <s v="HEAVY EQUIPMENT"/>
    <s v="TBA"/>
    <s v="Forklift"/>
    <m/>
    <m/>
    <d v="2016-06-01T00:00:00"/>
    <d v="2016-06-01T00:00:00"/>
    <s v="2149-16-0022-1"/>
    <n v="300"/>
    <n v="14030"/>
    <n v="30385.43"/>
    <n v="14036"/>
    <n v="30385.43"/>
    <n v="0"/>
    <n v="0"/>
    <n v="51260"/>
    <n v="0"/>
    <s v="P"/>
    <m/>
    <s v="FL2"/>
    <s v=" "/>
    <s v="STL"/>
    <s v="YES"/>
    <s v="TBD"/>
    <n v="0"/>
    <x v="20"/>
    <m/>
    <m/>
    <m/>
    <m/>
    <m/>
    <m/>
    <m/>
    <m/>
    <m/>
    <m/>
    <x v="1"/>
  </r>
  <r>
    <n v="2149"/>
    <n v="132888"/>
    <s v="P"/>
    <s v="Capitalized"/>
    <s v="10 YD Container W/ Lid"/>
    <m/>
    <m/>
    <n v="1"/>
    <m/>
    <n v="0"/>
    <s v="WESTERN CASCADE CONTAINER"/>
    <m/>
    <s v="CONTAINERS"/>
    <s v="TBA"/>
    <m/>
    <s v="10 YD"/>
    <s v="RO Box"/>
    <d v="2016-04-29T00:00:00"/>
    <d v="2016-04-29T00:00:00"/>
    <s v="2149-16-0016-1"/>
    <n v="1200"/>
    <n v="14050"/>
    <n v="5420"/>
    <n v="14056"/>
    <n v="3613.36"/>
    <n v="1806.6399999999999"/>
    <n v="150.56"/>
    <n v="54260"/>
    <n v="37.6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254"/>
    <s v="P"/>
    <s v="Capitalized"/>
    <s v="35 Gallon Refuse Carts"/>
    <m/>
    <m/>
    <n v="325"/>
    <m/>
    <n v="0"/>
    <s v="Toter"/>
    <m/>
    <s v="CONTAINERS"/>
    <s v="TBA"/>
    <m/>
    <m/>
    <m/>
    <d v="2016-01-26T00:00:00"/>
    <d v="2016-01-26T00:00:00"/>
    <s v="2149-16-0020-1"/>
    <n v="700"/>
    <n v="14050"/>
    <n v="12825.47"/>
    <n v="14056"/>
    <n v="12825.47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253"/>
    <s v="P"/>
    <s v="Capitalized"/>
    <s v="48 Gallon Refuse Carts"/>
    <m/>
    <m/>
    <n v="94"/>
    <m/>
    <n v="0"/>
    <s v="Toter"/>
    <m/>
    <s v="CONTAINERS"/>
    <s v="TBA"/>
    <m/>
    <m/>
    <m/>
    <d v="2016-01-26T00:00:00"/>
    <d v="2016-01-26T00:00:00"/>
    <s v="2149-16-0020-1"/>
    <n v="700"/>
    <n v="14050"/>
    <n v="4226.53"/>
    <n v="14056"/>
    <n v="4226.53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252"/>
    <s v="P"/>
    <s v="Capitalized"/>
    <s v="48 Gallon Refuse Carts"/>
    <m/>
    <m/>
    <n v="56"/>
    <m/>
    <n v="0"/>
    <s v="Toter"/>
    <m/>
    <s v="CONTAINERS"/>
    <s v="TBA"/>
    <m/>
    <m/>
    <m/>
    <d v="2016-02-17T00:00:00"/>
    <d v="2016-02-17T00:00:00"/>
    <s v="2149-16-0019-1"/>
    <n v="1200"/>
    <n v="14050"/>
    <n v="2546.0500000000002"/>
    <n v="14056"/>
    <n v="1732.72"/>
    <n v="813.33000000000015"/>
    <n v="70.72"/>
    <n v="54260"/>
    <n v="17.6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251"/>
    <s v="P"/>
    <s v="Capitalized"/>
    <s v="64 Gallon Refuse Carts"/>
    <m/>
    <m/>
    <n v="150"/>
    <m/>
    <n v="0"/>
    <s v="Toter"/>
    <m/>
    <s v="CONTAINERS"/>
    <s v="TBA"/>
    <m/>
    <m/>
    <m/>
    <d v="2016-02-17T00:00:00"/>
    <d v="2016-02-17T00:00:00"/>
    <s v="2149-16-0019-1"/>
    <n v="1200"/>
    <n v="14050"/>
    <n v="7138.2"/>
    <n v="14056"/>
    <n v="4857.9399999999996"/>
    <n v="2280.2600000000002"/>
    <n v="198.28"/>
    <n v="54260"/>
    <n v="49.5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250"/>
    <s v="P"/>
    <s v="Capitalized"/>
    <s v="96 Gallon Refuse Carts"/>
    <m/>
    <m/>
    <n v="150"/>
    <m/>
    <n v="0"/>
    <s v="Toter"/>
    <m/>
    <s v="CONTAINERS"/>
    <s v="TBA"/>
    <m/>
    <m/>
    <m/>
    <d v="2016-02-17T00:00:00"/>
    <d v="2016-02-17T00:00:00"/>
    <s v="2149-16-0019-1"/>
    <n v="1200"/>
    <n v="14050"/>
    <n v="8095.75"/>
    <n v="14056"/>
    <n v="5509.64"/>
    <n v="2586.1099999999997"/>
    <n v="224.88"/>
    <n v="54260"/>
    <n v="56.2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006"/>
    <s v="P"/>
    <s v="Capitalized"/>
    <s v="20 YD Blue RO Boxes"/>
    <m/>
    <m/>
    <n v="3"/>
    <m/>
    <n v="0"/>
    <s v="WESTERN CASCADE CONTAINER"/>
    <m/>
    <s v="CONTAINERS"/>
    <s v="TBA"/>
    <m/>
    <s v="20 YD"/>
    <s v="RO Box"/>
    <d v="2016-02-17T00:00:00"/>
    <d v="2016-02-17T00:00:00"/>
    <s v="2149-16-0019-1"/>
    <n v="1200"/>
    <n v="14050"/>
    <n v="19190"/>
    <n v="14056"/>
    <n v="13059.87"/>
    <n v="6130.1299999999992"/>
    <n v="533.04"/>
    <n v="54260"/>
    <n v="133.2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2005"/>
    <s v="P"/>
    <s v="Capitalized"/>
    <s v="20 YD Recycle box w/ 10X17 Recycle Window"/>
    <m/>
    <m/>
    <n v="3"/>
    <m/>
    <n v="0"/>
    <s v="WESTERN CASCADE CONTAINER"/>
    <m/>
    <s v="CONTAINERS"/>
    <s v="TBA"/>
    <m/>
    <s v="20 YD"/>
    <s v="RO Box"/>
    <d v="2016-01-26T00:00:00"/>
    <d v="2016-01-26T00:00:00"/>
    <s v="2149-16-0020-1"/>
    <n v="1200"/>
    <n v="14050"/>
    <n v="17780"/>
    <n v="14056"/>
    <n v="12223.77"/>
    <n v="5556.23"/>
    <n v="493.88"/>
    <n v="54260"/>
    <n v="123.4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775"/>
    <s v="P"/>
    <s v="Capitalized"/>
    <s v="1 yd REL Container"/>
    <m/>
    <m/>
    <n v="5"/>
    <m/>
    <n v="0"/>
    <s v="CAPITAL INDUSTRIES, INC."/>
    <m/>
    <s v="CONTAINERS"/>
    <s v="TBA"/>
    <m/>
    <s v="1 YD"/>
    <s v="FEL/REL/SL Metal"/>
    <d v="2016-02-26T00:00:00"/>
    <d v="2016-02-26T00:00:00"/>
    <s v="2149-16-0021-1"/>
    <n v="1200"/>
    <n v="14050"/>
    <n v="2025"/>
    <n v="14056"/>
    <n v="1378.11"/>
    <n v="646.8900000000001"/>
    <n v="56.24"/>
    <n v="54260"/>
    <n v="14.06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774"/>
    <s v="P"/>
    <s v="Capitalized"/>
    <s v="1.5 yd RL"/>
    <m/>
    <m/>
    <n v="5"/>
    <m/>
    <n v="0"/>
    <s v="CAPITAL INDUSTRIES, INC."/>
    <m/>
    <s v="CONTAINERS"/>
    <s v="TBA"/>
    <m/>
    <s v="1.5 YD"/>
    <s v="FEL/REL/SL Metal"/>
    <d v="2016-02-26T00:00:00"/>
    <d v="2016-02-26T00:00:00"/>
    <s v="2149-16-0021-1"/>
    <n v="1200"/>
    <n v="14050"/>
    <n v="2200"/>
    <n v="14056"/>
    <n v="1497.21"/>
    <n v="702.79"/>
    <n v="61.12"/>
    <n v="54260"/>
    <n v="15.28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754"/>
    <s v="P"/>
    <s v="Capitalized"/>
    <s v="1.5 yd REL Container"/>
    <m/>
    <m/>
    <n v="25"/>
    <m/>
    <n v="0"/>
    <s v="CAPITAL INDUSTRIES, INC."/>
    <m/>
    <s v="CONTAINERS"/>
    <s v="TBA"/>
    <m/>
    <s v="1.5 YD"/>
    <s v="FEL/REL/SL Metal"/>
    <d v="2016-02-26T00:00:00"/>
    <d v="2016-02-26T00:00:00"/>
    <s v="2149-16-0021-1"/>
    <n v="1200"/>
    <n v="14050"/>
    <n v="11000"/>
    <n v="14056"/>
    <n v="7486.14"/>
    <n v="3513.8599999999997"/>
    <n v="305.56"/>
    <n v="54260"/>
    <n v="76.3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753"/>
    <s v="P"/>
    <s v="Capitalized"/>
    <s v="2 yd REL Container"/>
    <m/>
    <m/>
    <n v="44"/>
    <m/>
    <n v="0"/>
    <s v="CAPITAL INDUSTRIES, INC."/>
    <m/>
    <s v="CONTAINERS"/>
    <s v="TBA"/>
    <m/>
    <s v="2 YD"/>
    <s v="FEL/REL/SL Metal"/>
    <d v="2016-02-26T00:00:00"/>
    <d v="2016-02-26T00:00:00"/>
    <s v="2149-16-0021-1"/>
    <n v="1200"/>
    <n v="14050"/>
    <n v="20900"/>
    <n v="14056"/>
    <n v="14223.64"/>
    <n v="6676.3600000000006"/>
    <n v="580.55999999999995"/>
    <n v="54260"/>
    <n v="145.13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752"/>
    <s v="P"/>
    <s v="Capitalized"/>
    <s v="2 yd REL w/ lock bar"/>
    <m/>
    <m/>
    <n v="1"/>
    <m/>
    <n v="0"/>
    <s v="CAPITAL INDUSTRIES, INC."/>
    <m/>
    <s v="CONTAINERS"/>
    <s v="TBA"/>
    <m/>
    <s v="2 YD"/>
    <s v="FEL/REL/SL Metal"/>
    <d v="2016-02-26T00:00:00"/>
    <d v="2016-02-26T00:00:00"/>
    <s v="2149-16-0021-1"/>
    <n v="1200"/>
    <n v="14050"/>
    <n v="520"/>
    <n v="14056"/>
    <n v="353.86"/>
    <n v="166.14"/>
    <n v="14.44"/>
    <n v="54260"/>
    <n v="3.6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670"/>
    <s v="P"/>
    <s v="Capitalized"/>
    <s v="20 Yd Blue Ro Boxes W/10X17 Recycle Windows"/>
    <m/>
    <m/>
    <n v="2"/>
    <m/>
    <n v="0"/>
    <s v="WESTERN CASCADE CONTAINER"/>
    <m/>
    <s v="CONTAINERS"/>
    <s v="TBA"/>
    <m/>
    <s v="20 YD"/>
    <s v="RO Box"/>
    <d v="2016-02-17T00:00:00"/>
    <d v="2016-02-17T00:00:00"/>
    <s v="2149-16-0019-1"/>
    <n v="1200"/>
    <n v="14050"/>
    <n v="11853.33"/>
    <n v="14056"/>
    <n v="8066.85"/>
    <n v="3786.4799999999996"/>
    <n v="329.24"/>
    <n v="54260"/>
    <n v="82.3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669"/>
    <s v="P"/>
    <s v="Capitalized"/>
    <s v="20 Yd Blue Ro Boxes W/10X41 Recycle Windows"/>
    <m/>
    <m/>
    <n v="1"/>
    <m/>
    <n v="0"/>
    <s v="WESTERN CASCADE CONTAINER"/>
    <m/>
    <s v="CONTAINERS"/>
    <s v="TBA"/>
    <m/>
    <s v="20 YD"/>
    <s v="RO Box"/>
    <d v="2016-02-17T00:00:00"/>
    <d v="2016-02-17T00:00:00"/>
    <s v="2149-16-0019-1"/>
    <n v="1200"/>
    <n v="14050"/>
    <n v="6106.67"/>
    <n v="14056"/>
    <n v="4155.95"/>
    <n v="1950.7200000000003"/>
    <n v="169.64"/>
    <n v="54260"/>
    <n v="42.4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544"/>
    <s v="P"/>
    <s v="Capitalized"/>
    <s v="24 Samsung Tablets"/>
    <m/>
    <m/>
    <n v="1"/>
    <m/>
    <n v="0"/>
    <s v="VERIZON WIRELESS P1667~NA"/>
    <m/>
    <s v="HARDWARE AND SOFTWARE"/>
    <s v="TBA"/>
    <m/>
    <m/>
    <m/>
    <d v="2016-03-31T00:00:00"/>
    <d v="2016-03-31T00:00:00"/>
    <s v="2149-16-0017-1"/>
    <n v="100"/>
    <n v="14110"/>
    <n v="5975.04"/>
    <n v="14116"/>
    <n v="5975.04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501"/>
    <n v="45066"/>
    <s v="Capitalized"/>
    <s v="Transmission Rebuild"/>
    <m/>
    <m/>
    <n v="1"/>
    <m/>
    <n v="0"/>
    <s v="PACCAR"/>
    <m/>
    <s v="TRUCKS AND TRAILERS"/>
    <s v="TBA"/>
    <s v="Non-Rolling Stock"/>
    <m/>
    <m/>
    <d v="2016-01-01T00:00:00"/>
    <d v="2016-01-01T00:00:00"/>
    <s v="2149-15-0021-1"/>
    <n v="300"/>
    <n v="14040"/>
    <n v="6050.04"/>
    <n v="14046"/>
    <n v="6050.04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196"/>
    <s v="P"/>
    <s v="Capitalized"/>
    <s v="95 Gal Recycle Carts"/>
    <m/>
    <m/>
    <n v="624"/>
    <m/>
    <n v="0"/>
    <s v="Toter"/>
    <m/>
    <s v="CONTAINERS"/>
    <s v="TBA"/>
    <m/>
    <m/>
    <m/>
    <d v="2016-02-29T00:00:00"/>
    <d v="2016-02-29T00:00:00"/>
    <s v="2149-16-0003-1"/>
    <n v="700"/>
    <n v="14050"/>
    <n v="35165.58"/>
    <n v="14056"/>
    <n v="35165.5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1090"/>
    <s v="P"/>
    <s v="Capitalized"/>
    <s v="20 YD Blue RO Boxes"/>
    <m/>
    <m/>
    <n v="9"/>
    <m/>
    <n v="0"/>
    <s v="WESTERN CASCADE CONTAINER"/>
    <m/>
    <s v="CONTAINERS"/>
    <s v="TBA"/>
    <m/>
    <s v="20 YD"/>
    <s v="RO Box"/>
    <d v="2016-02-17T00:00:00"/>
    <d v="2016-02-17T00:00:00"/>
    <s v="2149-16-0019-1"/>
    <n v="1200"/>
    <n v="14050"/>
    <n v="55830"/>
    <n v="14056"/>
    <n v="37995.42"/>
    <n v="17834.580000000002"/>
    <n v="1550.84"/>
    <n v="54260"/>
    <n v="387.71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30993"/>
    <s v="P"/>
    <s v="Capitalized"/>
    <s v="20 YD Blue RO Boxes"/>
    <m/>
    <m/>
    <n v="3"/>
    <m/>
    <n v="0"/>
    <s v="WESTERN CASCADE CONTAINER"/>
    <m/>
    <s v="CONTAINERS"/>
    <s v="TBA"/>
    <m/>
    <s v="20 YD"/>
    <s v="RO Box"/>
    <d v="2016-02-17T00:00:00"/>
    <d v="2016-02-17T00:00:00"/>
    <s v="2149-16-0019-1"/>
    <n v="1200"/>
    <n v="14050"/>
    <n v="17780"/>
    <n v="14056"/>
    <n v="12100.29"/>
    <n v="5679.7099999999991"/>
    <n v="493.88"/>
    <n v="54260"/>
    <n v="123.4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9381"/>
    <s v="P"/>
    <s v="Capitalized"/>
    <s v="20YD RO Container"/>
    <m/>
    <m/>
    <n v="3"/>
    <m/>
    <n v="0"/>
    <s v="WESTERN CASCADE CONTAINER"/>
    <m/>
    <s v="CONTAINERS"/>
    <s v="TBA"/>
    <m/>
    <s v="20 YD"/>
    <s v="RO Box"/>
    <d v="2016-01-01T00:00:00"/>
    <d v="2016-01-01T00:00:00"/>
    <s v="2149-15-0022-1"/>
    <n v="1200"/>
    <n v="14050"/>
    <n v="35560"/>
    <n v="14056"/>
    <n v="24694.400000000001"/>
    <n v="10865.599999999999"/>
    <n v="987.76"/>
    <n v="54260"/>
    <n v="246.9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8180"/>
    <s v="P"/>
    <s v="Capitalized"/>
    <s v="20 YD Recycle Container"/>
    <m/>
    <m/>
    <n v="3"/>
    <m/>
    <n v="0"/>
    <s v="WESTERN CASCADE CONTAINER"/>
    <m/>
    <s v="CONTAINERS"/>
    <s v="TBA"/>
    <m/>
    <m/>
    <m/>
    <d v="2015-11-23T00:00:00"/>
    <d v="2015-11-23T00:00:00"/>
    <s v="2149-15-0022-1"/>
    <n v="1200"/>
    <n v="14050"/>
    <n v="17780"/>
    <n v="14056"/>
    <n v="12470.71"/>
    <n v="5309.2900000000009"/>
    <n v="493.88"/>
    <n v="54260"/>
    <n v="123.4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6898"/>
    <s v="P"/>
    <s v="Capitalized"/>
    <s v="1979 Fruehauf Pup Trailer"/>
    <m/>
    <m/>
    <n v="1"/>
    <s v="FRV759601"/>
    <n v="1979"/>
    <s v="Fruehauf"/>
    <s v="Fruehauf"/>
    <s v="TRUCKS AND TRAILERS"/>
    <s v="TBA"/>
    <s v="Other Trailer"/>
    <m/>
    <m/>
    <d v="2008-11-20T00:00:00"/>
    <d v="2008-11-20T00:00:00"/>
    <m/>
    <n v="300"/>
    <n v="14040"/>
    <n v="2500"/>
    <n v="14046"/>
    <n v="2500"/>
    <n v="0"/>
    <n v="0"/>
    <n v="51260"/>
    <n v="0"/>
    <s v="A"/>
    <s v="Yakima Waste Systems"/>
    <n v="8012"/>
    <s v=" "/>
    <s v="STL"/>
    <s v="YES"/>
    <s v="TBD"/>
    <n v="0"/>
    <x v="20"/>
    <m/>
    <m/>
    <m/>
    <m/>
    <m/>
    <m/>
    <m/>
    <m/>
    <m/>
    <m/>
    <x v="1"/>
  </r>
  <r>
    <n v="2149"/>
    <n v="124277"/>
    <s v="P"/>
    <s v="Capitalized"/>
    <s v="A/C Machine"/>
    <m/>
    <m/>
    <n v="1"/>
    <m/>
    <n v="0"/>
    <s v="Mac Tools"/>
    <m/>
    <s v="SHOP EQUIPMENT"/>
    <s v="TBA"/>
    <m/>
    <m/>
    <m/>
    <d v="2015-07-15T00:00:00"/>
    <d v="2015-07-15T00:00:00"/>
    <s v="2149-15-0019-1"/>
    <n v="500"/>
    <n v="14070"/>
    <n v="4937"/>
    <n v="14076"/>
    <n v="4937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4223"/>
    <n v="123341"/>
    <s v="Capitalized"/>
    <s v="2016 Peterbilt ASL Licensing Fees"/>
    <m/>
    <m/>
    <n v="1"/>
    <m/>
    <n v="0"/>
    <s v="N/A"/>
    <m/>
    <s v="TRUCKS AND TRAILERS"/>
    <s v="TBA"/>
    <s v="Non-Rolling Stock"/>
    <m/>
    <m/>
    <d v="2015-06-30T00:00:00"/>
    <d v="2015-06-30T00:00:00"/>
    <s v="2149-15-0001-1"/>
    <n v="1000"/>
    <n v="14040"/>
    <n v="882"/>
    <n v="14046"/>
    <n v="779.1"/>
    <n v="102.89999999999998"/>
    <n v="29.4"/>
    <n v="51260"/>
    <n v="7.3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4068"/>
    <s v="P"/>
    <s v="Capitalized"/>
    <s v="2 yd REL Containers"/>
    <m/>
    <m/>
    <n v="44"/>
    <m/>
    <n v="0"/>
    <s v="CAPITAL INDUSTRIES, INC."/>
    <m/>
    <s v="CONTAINERS"/>
    <s v="TBA"/>
    <m/>
    <s v="2 YD"/>
    <s v="FEL/REL/SL Metal"/>
    <d v="2015-07-21T00:00:00"/>
    <d v="2015-07-21T00:00:00"/>
    <s v="2149-15-0016-1"/>
    <n v="1200"/>
    <n v="14050"/>
    <n v="20328"/>
    <n v="14056"/>
    <n v="14822.51"/>
    <n v="5505.49"/>
    <n v="564.67999999999995"/>
    <n v="54260"/>
    <n v="141.1699999999999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4067"/>
    <s v="P"/>
    <s v="Capitalized"/>
    <s v="1.5 yd REL Containers"/>
    <m/>
    <m/>
    <n v="25"/>
    <m/>
    <n v="0"/>
    <s v="CAPITAL INDUSTRIES, INC."/>
    <m/>
    <s v="CONTAINERS"/>
    <s v="TBA"/>
    <m/>
    <s v="1.5 YD"/>
    <s v="FEL/REL/SL Metal"/>
    <d v="2015-07-21T00:00:00"/>
    <d v="2015-07-21T00:00:00"/>
    <s v="2149-15-0016-1"/>
    <n v="1200"/>
    <n v="14050"/>
    <n v="10875"/>
    <n v="14056"/>
    <n v="7929.69"/>
    <n v="2945.3100000000004"/>
    <n v="302.08"/>
    <n v="54260"/>
    <n v="75.5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453"/>
    <s v="P"/>
    <s v="Capitalized"/>
    <s v="24 Gal Gray Refuse Carts"/>
    <m/>
    <m/>
    <n v="10"/>
    <m/>
    <n v="0"/>
    <s v="Toter"/>
    <m/>
    <s v="CONTAINERS"/>
    <s v="TBA"/>
    <m/>
    <m/>
    <m/>
    <d v="2015-06-15T00:00:00"/>
    <d v="2015-06-15T00:00:00"/>
    <s v="2149-15-0018-1"/>
    <n v="700"/>
    <n v="14050"/>
    <n v="554.44000000000005"/>
    <n v="14056"/>
    <n v="554.4400000000000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452"/>
    <s v="P"/>
    <s v="Capitalized"/>
    <s v="64 Gal Gray Refuse Carts"/>
    <m/>
    <m/>
    <n v="200"/>
    <m/>
    <n v="0"/>
    <s v="Toter"/>
    <m/>
    <s v="CONTAINERS"/>
    <s v="TBA"/>
    <m/>
    <m/>
    <m/>
    <d v="2015-06-15T00:00:00"/>
    <d v="2015-06-15T00:00:00"/>
    <s v="2149-15-0018-1"/>
    <n v="700"/>
    <n v="14050"/>
    <n v="12716.2"/>
    <n v="14056"/>
    <n v="12716.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451"/>
    <s v="P"/>
    <s v="Capitalized"/>
    <s v="96 Gal Gray Refuse Carts"/>
    <m/>
    <m/>
    <n v="40"/>
    <m/>
    <n v="0"/>
    <s v="Toter"/>
    <m/>
    <s v="CONTAINERS"/>
    <s v="TBA"/>
    <m/>
    <m/>
    <m/>
    <d v="2015-06-15T00:00:00"/>
    <d v="2015-06-15T00:00:00"/>
    <s v="2149-15-0018-1"/>
    <n v="700"/>
    <n v="14050"/>
    <n v="2781.94"/>
    <n v="14056"/>
    <n v="2781.9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450"/>
    <s v="P"/>
    <s v="Capitalized"/>
    <s v="35 Gal Gray Refuse Carts"/>
    <m/>
    <m/>
    <n v="760"/>
    <m/>
    <n v="0"/>
    <s v="Toter"/>
    <m/>
    <s v="CONTAINERS"/>
    <s v="TBA"/>
    <m/>
    <m/>
    <m/>
    <d v="2015-06-15T00:00:00"/>
    <d v="2015-06-15T00:00:00"/>
    <s v="2149-15-0018-1"/>
    <n v="700"/>
    <n v="14050"/>
    <n v="28036.400000000001"/>
    <n v="14056"/>
    <n v="28036.40000000000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449"/>
    <s v="P"/>
    <s v="Capitalized"/>
    <s v="35 Gal Gray Refuse Carts"/>
    <m/>
    <m/>
    <n v="840"/>
    <m/>
    <n v="0"/>
    <s v="Toter"/>
    <m/>
    <s v="CONTAINERS"/>
    <s v="TBA"/>
    <m/>
    <m/>
    <m/>
    <d v="2015-06-15T00:00:00"/>
    <d v="2015-06-15T00:00:00"/>
    <s v="2149-15-0018-1"/>
    <n v="700"/>
    <n v="14050"/>
    <n v="30987.599999999999"/>
    <n v="14056"/>
    <n v="30987.59999999999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3341"/>
    <s v="P"/>
    <s v="Capitalized"/>
    <s v="2016 Peterbilt 320 ASL"/>
    <m/>
    <m/>
    <n v="1"/>
    <s v="3BPZLJ0X1GF100329"/>
    <n v="2016"/>
    <s v="Peterbilt"/>
    <s v="Labrie"/>
    <s v="TRUCKS AND TRAILERS"/>
    <s v="TBA"/>
    <s v="Automated Side Loader"/>
    <m/>
    <m/>
    <d v="2015-06-30T00:00:00"/>
    <d v="2015-06-30T00:00:00"/>
    <s v="2149-15-0001-1"/>
    <n v="1000"/>
    <n v="14040"/>
    <n v="313311.01"/>
    <n v="14046"/>
    <n v="276758.07"/>
    <n v="36552.94"/>
    <n v="10443.719999999999"/>
    <n v="51260"/>
    <n v="2610.9299999999998"/>
    <s v="P"/>
    <m/>
    <n v="12"/>
    <s v=" "/>
    <s v="STL"/>
    <s v="YES"/>
    <s v="TBD"/>
    <n v="0"/>
    <x v="20"/>
    <m/>
    <m/>
    <m/>
    <m/>
    <m/>
    <m/>
    <m/>
    <m/>
    <m/>
    <m/>
    <x v="1"/>
  </r>
  <r>
    <n v="2149"/>
    <n v="122702"/>
    <s v="P"/>
    <s v="Capitalized"/>
    <s v="2 Winterms"/>
    <m/>
    <m/>
    <n v="1"/>
    <m/>
    <n v="0"/>
    <s v="CDW"/>
    <m/>
    <s v="HARDWARE AND SOFTWARE"/>
    <s v="TBA"/>
    <m/>
    <m/>
    <m/>
    <d v="2015-04-30T00:00:00"/>
    <d v="2015-04-30T00:00:00"/>
    <s v="2149-15-0017-1"/>
    <n v="300"/>
    <n v="14110"/>
    <n v="655"/>
    <n v="14116"/>
    <n v="65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1096"/>
    <s v="P"/>
    <s v="Capitalized"/>
    <s v="Pressure Washer"/>
    <m/>
    <m/>
    <n v="1"/>
    <m/>
    <n v="0"/>
    <s v="AMB Tools and Equip-Tacom"/>
    <m/>
    <s v="SHOP EQUIPMENT"/>
    <s v="TBA"/>
    <m/>
    <m/>
    <m/>
    <d v="2015-03-01T00:00:00"/>
    <d v="2015-03-01T00:00:00"/>
    <s v="2149-15-0013-1"/>
    <n v="500"/>
    <n v="14070"/>
    <n v="8263.36"/>
    <n v="14076"/>
    <n v="8263.36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1038"/>
    <s v="P"/>
    <s v="Capitalized"/>
    <s v="48 Gal carts"/>
    <m/>
    <m/>
    <n v="300"/>
    <m/>
    <n v="0"/>
    <s v="Toter"/>
    <m/>
    <s v="CONTAINERS"/>
    <s v="TBA"/>
    <m/>
    <m/>
    <m/>
    <d v="2015-03-01T00:00:00"/>
    <d v="2015-03-01T00:00:00"/>
    <s v="2149-15-0015-1"/>
    <n v="700"/>
    <n v="14050"/>
    <n v="14206.55"/>
    <n v="14056"/>
    <n v="14206.5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1037"/>
    <s v="P"/>
    <s v="Capitalized"/>
    <s v="96 Gal Carts"/>
    <m/>
    <m/>
    <n v="420"/>
    <m/>
    <n v="0"/>
    <s v="Toter"/>
    <m/>
    <s v="CONTAINERS"/>
    <s v="TBA"/>
    <m/>
    <m/>
    <m/>
    <d v="2015-03-01T00:00:00"/>
    <d v="2015-03-01T00:00:00"/>
    <s v="2149-15-0015-1"/>
    <n v="700"/>
    <n v="14050"/>
    <n v="22395.5"/>
    <n v="14056"/>
    <n v="22395.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0330"/>
    <s v="P"/>
    <s v="Capitalized"/>
    <s v="Fall Protection"/>
    <m/>
    <m/>
    <n v="1"/>
    <m/>
    <n v="0"/>
    <s v="Site Response LLC"/>
    <m/>
    <s v="SHOP EQUIPMENT"/>
    <s v="TBA"/>
    <m/>
    <m/>
    <m/>
    <d v="2015-01-31T00:00:00"/>
    <d v="2015-01-31T00:00:00"/>
    <s v="2149-15-0006-1"/>
    <n v="500"/>
    <n v="14070"/>
    <n v="17574.62"/>
    <n v="14076"/>
    <n v="17574.6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8137"/>
    <s v="P"/>
    <s v="Capitalized"/>
    <s v="Winch Upgrades - Various Containers"/>
    <m/>
    <m/>
    <n v="1"/>
    <m/>
    <n v="0"/>
    <m/>
    <m/>
    <s v="CONTAINERS"/>
    <s v="TBA"/>
    <m/>
    <m/>
    <m/>
    <d v="2014-12-31T00:00:00"/>
    <d v="2014-12-31T00:00:00"/>
    <s v="2149-14-0016-1"/>
    <n v="500"/>
    <n v="14050"/>
    <n v="12580.08"/>
    <n v="14056"/>
    <n v="12580.0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7318"/>
    <s v="P"/>
    <s v="Capitalized"/>
    <s v="2015 Freightliner 16m REL"/>
    <m/>
    <m/>
    <n v="1"/>
    <s v="3ALHCYCY3FDGJ8222"/>
    <n v="2015"/>
    <s v="International"/>
    <s v="McNeilus"/>
    <s v="TRUCKS AND TRAILERS"/>
    <s v="TBA"/>
    <s v="Rear Loader"/>
    <m/>
    <m/>
    <d v="2014-11-03T00:00:00"/>
    <d v="2014-11-03T00:00:00"/>
    <s v="2149-14-0013-1"/>
    <n v="1000"/>
    <n v="14040"/>
    <n v="207432.32000000001"/>
    <n v="14046"/>
    <n v="197060.68"/>
    <n v="10371.640000000014"/>
    <n v="6914.4"/>
    <n v="51260"/>
    <n v="1728.6"/>
    <s v="P"/>
    <m/>
    <n v="30"/>
    <s v=" "/>
    <s v="STL"/>
    <s v="YES"/>
    <s v="TBD"/>
    <n v="0"/>
    <x v="20"/>
    <m/>
    <m/>
    <m/>
    <m/>
    <m/>
    <m/>
    <m/>
    <m/>
    <m/>
    <m/>
    <x v="1"/>
  </r>
  <r>
    <n v="2149"/>
    <n v="116395"/>
    <s v="P"/>
    <s v="Capitalized"/>
    <s v="Tip Wall Lighting"/>
    <m/>
    <m/>
    <n v="1"/>
    <m/>
    <n v="0"/>
    <s v="HIRED HANDS LLC"/>
    <m/>
    <s v="LEASEHOLD IMPROVEMENTS"/>
    <s v="LEASEHOLD IMPROVEMENTS"/>
    <m/>
    <m/>
    <m/>
    <d v="2014-10-03T00:00:00"/>
    <d v="2014-10-03T00:00:00"/>
    <s v="2149-14-0017-1"/>
    <n v="500"/>
    <n v="14090"/>
    <n v="3942.89"/>
    <n v="14096"/>
    <n v="3942.89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5364"/>
    <s v="P"/>
    <s v="Capitalized"/>
    <s v="2 Yd REL Containers"/>
    <m/>
    <m/>
    <n v="25"/>
    <m/>
    <n v="0"/>
    <s v="CAPITAL INDUSTRIES, INC."/>
    <m/>
    <s v="CONTAINERS"/>
    <s v="TBA"/>
    <m/>
    <s v="2 YD"/>
    <s v="FEL/REL/SL Metal"/>
    <d v="2014-08-13T00:00:00"/>
    <d v="2014-08-13T00:00:00"/>
    <s v="2149-14-0012-1"/>
    <n v="1200"/>
    <n v="14050"/>
    <n v="11750"/>
    <n v="14056"/>
    <n v="9546.92"/>
    <n v="2203.08"/>
    <n v="326.39999999999998"/>
    <n v="54260"/>
    <n v="81.59999999999999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5252"/>
    <s v="P"/>
    <s v="Capitalized"/>
    <s v="2 Yd REL Containers"/>
    <m/>
    <m/>
    <n v="18"/>
    <m/>
    <n v="0"/>
    <s v="CAPITAL INDUSTRIES, INC."/>
    <m/>
    <s v="CONTAINERS"/>
    <s v="TBA"/>
    <m/>
    <s v="2 YD"/>
    <s v="FEL/REL/SL Metal"/>
    <d v="2014-08-13T00:00:00"/>
    <d v="2014-08-13T00:00:00"/>
    <s v="2149-14-0012-1"/>
    <n v="1200"/>
    <n v="14050"/>
    <n v="8460"/>
    <n v="14056"/>
    <n v="6873.75"/>
    <n v="1586.25"/>
    <n v="235"/>
    <n v="54260"/>
    <n v="58.75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5251"/>
    <s v="P"/>
    <s v="Capitalized"/>
    <s v="1.5 Yd REL Container"/>
    <m/>
    <m/>
    <n v="35"/>
    <m/>
    <n v="0"/>
    <s v="CAPITAL INDUSTRIES, INC."/>
    <m/>
    <s v="CONTAINERS"/>
    <s v="TBA"/>
    <m/>
    <s v="1.5 YD"/>
    <s v="FEL/REL/SL Metal"/>
    <d v="2014-08-13T00:00:00"/>
    <d v="2014-08-13T00:00:00"/>
    <s v="2149-14-0012-1"/>
    <n v="1200"/>
    <n v="14050"/>
    <n v="15400"/>
    <n v="14056"/>
    <n v="12512.45"/>
    <n v="2887.5499999999993"/>
    <n v="427.76"/>
    <n v="54260"/>
    <n v="106.9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3496"/>
    <s v="P"/>
    <s v="Capitalized"/>
    <s v="48 Gal Grey Plastic Carts and Lids"/>
    <m/>
    <m/>
    <n v="100"/>
    <m/>
    <n v="0"/>
    <s v="TOTER INCORPORATED"/>
    <m/>
    <s v="CONTAINERS"/>
    <s v="TBA"/>
    <m/>
    <m/>
    <m/>
    <d v="2014-06-06T00:00:00"/>
    <d v="2014-06-06T00:00:00"/>
    <s v="2149-14-0011-1"/>
    <n v="700"/>
    <n v="14050"/>
    <n v="6630.44"/>
    <n v="14056"/>
    <n v="6630.4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3495"/>
    <s v="P"/>
    <s v="Capitalized"/>
    <s v="35 Gal Grey Plastic Carts and Lids"/>
    <m/>
    <m/>
    <n v="350"/>
    <m/>
    <n v="0"/>
    <s v="REHRIG PACIFIC COMPANY"/>
    <m/>
    <s v="CONTAINERS"/>
    <s v="TBA"/>
    <m/>
    <m/>
    <m/>
    <d v="2014-05-27T00:00:00"/>
    <d v="2014-05-27T00:00:00"/>
    <s v="2149-14-0010-1"/>
    <n v="700"/>
    <n v="14050"/>
    <n v="14838.46"/>
    <n v="14056"/>
    <n v="14838.4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3270"/>
    <s v="P"/>
    <s v="Capitalized"/>
    <s v="Wyse Winterms D10D"/>
    <m/>
    <m/>
    <n v="3"/>
    <m/>
    <n v="0"/>
    <s v="CDW"/>
    <m/>
    <s v="HARDWARE AND SOFTWARE"/>
    <s v="TBA"/>
    <m/>
    <m/>
    <m/>
    <d v="2014-04-20T00:00:00"/>
    <d v="2014-04-20T00:00:00"/>
    <s v="2000-14-0006-1"/>
    <n v="300"/>
    <n v="14110"/>
    <n v="1013.04"/>
    <n v="14116"/>
    <n v="1013.04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2599"/>
    <n v="109576"/>
    <s v="Capitalized"/>
    <s v="Steel Structure Inspection"/>
    <m/>
    <m/>
    <n v="1"/>
    <m/>
    <n v="0"/>
    <s v="PSI"/>
    <m/>
    <s v="LEASEHOLD IMPROVEMENTS"/>
    <s v="LEASEHOLD IMPROVEMENTS"/>
    <m/>
    <m/>
    <m/>
    <d v="2014-01-01T00:00:00"/>
    <d v="2014-01-01T00:00:00"/>
    <s v="2149-14-0009-1"/>
    <n v="506"/>
    <n v="14090"/>
    <n v="1884"/>
    <n v="14096"/>
    <n v="1884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2418"/>
    <n v="109576"/>
    <s v="Capitalized"/>
    <s v="Labor/Equipment &amp; Materials Septic Tank"/>
    <m/>
    <m/>
    <n v="1"/>
    <m/>
    <n v="0"/>
    <m/>
    <m/>
    <s v="LEASEHOLD IMPROVEMENTS"/>
    <s v="LEASEHOLD IMPROVEMENTS"/>
    <m/>
    <m/>
    <m/>
    <d v="2014-01-01T00:00:00"/>
    <d v="2014-01-01T00:00:00"/>
    <s v="2149-14-0009-1"/>
    <n v="506"/>
    <n v="14090"/>
    <n v="2675.38"/>
    <n v="14096"/>
    <n v="2675.38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2162"/>
    <n v="109576"/>
    <s v="Capitalized"/>
    <s v="Labor/Materials Septic Tank"/>
    <m/>
    <m/>
    <n v="1"/>
    <m/>
    <n v="0"/>
    <s v="ACTIVE UNDERGROUND"/>
    <m/>
    <s v="LEASEHOLD IMPROVEMENTS"/>
    <s v="LEASEHOLD IMPROVEMENTS"/>
    <m/>
    <m/>
    <m/>
    <d v="2014-01-01T00:00:00"/>
    <d v="2014-01-01T00:00:00"/>
    <s v="2149-13-0011-1"/>
    <n v="506"/>
    <n v="14090"/>
    <n v="10412.07"/>
    <n v="14096"/>
    <n v="10412.0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1445"/>
    <s v="P"/>
    <s v="Capitalized"/>
    <s v="96 Gallon  Dark Grey Granite Recycle Carts"/>
    <m/>
    <m/>
    <n v="624"/>
    <m/>
    <n v="0"/>
    <s v="TOTER INCORPORATED"/>
    <m/>
    <s v="CONTAINERS"/>
    <s v="TBA"/>
    <m/>
    <m/>
    <m/>
    <d v="2014-03-19T00:00:00"/>
    <d v="2014-03-19T00:00:00"/>
    <s v="2149-14-0008-1"/>
    <n v="700"/>
    <n v="14050"/>
    <n v="36065.919999999998"/>
    <n v="14056"/>
    <n v="36065.91999999999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1169"/>
    <s v="P"/>
    <s v="Capitalized"/>
    <s v="Recycling Decals for 96 Gal Containers"/>
    <m/>
    <m/>
    <n v="1"/>
    <m/>
    <n v="0"/>
    <s v="PRO AD CO"/>
    <m/>
    <s v="CONTAINERS"/>
    <s v="TBA"/>
    <m/>
    <m/>
    <m/>
    <d v="2014-01-01T00:00:00"/>
    <d v="2014-01-01T00:00:00"/>
    <s v="2149-14-0008-1"/>
    <n v="700"/>
    <n v="14050"/>
    <n v="2369.64"/>
    <n v="14056"/>
    <n v="2369.6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749"/>
    <n v="109576"/>
    <s v="Capitalized"/>
    <s v="Truck Wash Pad Engineering"/>
    <m/>
    <m/>
    <n v="1"/>
    <m/>
    <n v="0"/>
    <m/>
    <m/>
    <s v="LEASEHOLD IMPROVEMENTS"/>
    <s v="LEASEHOLD IMPROVEMENTS"/>
    <m/>
    <m/>
    <m/>
    <d v="2014-01-01T00:00:00"/>
    <d v="2014-01-01T00:00:00"/>
    <s v="2149-13-0011-1"/>
    <n v="506"/>
    <n v="14090"/>
    <n v="317"/>
    <n v="14096"/>
    <n v="31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512"/>
    <n v="109576"/>
    <s v="Capitalized"/>
    <s v="Final installment payment for Truck Wash Building"/>
    <m/>
    <m/>
    <n v="1"/>
    <m/>
    <n v="0"/>
    <s v="KAUFMAN CONSTRUCTION &amp; DE"/>
    <m/>
    <s v="LEASEHOLD IMPROVEMENTS"/>
    <s v="LEASEHOLD IMPROVEMENTS"/>
    <m/>
    <m/>
    <m/>
    <d v="2014-01-01T00:00:00"/>
    <d v="2014-01-01T00:00:00"/>
    <s v="2149-13-0011-1"/>
    <n v="506"/>
    <n v="14090"/>
    <n v="55756.7"/>
    <n v="14096"/>
    <n v="55756.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511"/>
    <n v="109576"/>
    <s v="Capitalized"/>
    <s v="Progress Billing 08/20/13 to 12/31/13 Wash Pad"/>
    <m/>
    <m/>
    <n v="1"/>
    <m/>
    <n v="0"/>
    <s v="KAUFMAN CONSTRUCTION &amp; DE"/>
    <m/>
    <s v="LEASEHOLD IMPROVEMENTS"/>
    <s v="LEASEHOLD IMPROVEMENTS"/>
    <m/>
    <m/>
    <m/>
    <d v="2014-01-01T00:00:00"/>
    <d v="2014-01-01T00:00:00"/>
    <s v="2149-13-0011-1"/>
    <n v="506"/>
    <n v="14090"/>
    <n v="14778.49"/>
    <n v="14096"/>
    <n v="14778.49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199"/>
    <n v="27371"/>
    <s v="Capitalized"/>
    <s v="(2) Hella LED Work Lamps, (2) 3 Head Amber Strobe Light and installation"/>
    <m/>
    <m/>
    <n v="1"/>
    <m/>
    <n v="0"/>
    <s v="CAPITAL INDUSTRIAL"/>
    <m/>
    <s v="TRUCKS AND TRAILERS"/>
    <s v="TBA"/>
    <s v="Non-Rolling Stock "/>
    <m/>
    <m/>
    <d v="2013-12-13T00:00:00"/>
    <d v="2013-12-13T00:00:00"/>
    <s v="2149-13-0017-1"/>
    <n v="300"/>
    <n v="14040"/>
    <n v="1183.08"/>
    <n v="14046"/>
    <n v="1183.08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102"/>
    <n v="109576"/>
    <s v="Capitalized"/>
    <s v="Building Permit Fee and Geotechnical Report Review"/>
    <m/>
    <m/>
    <n v="1"/>
    <m/>
    <n v="0"/>
    <s v="Mason County Department o"/>
    <m/>
    <s v="LEASEHOLD IMPROVEMENTS"/>
    <s v="LEASEHOLD IMPROVEMENTS"/>
    <m/>
    <m/>
    <m/>
    <d v="2013-12-31T00:00:00"/>
    <d v="2013-12-31T00:00:00"/>
    <s v="2149-13-0011-1"/>
    <n v="506"/>
    <n v="14090"/>
    <n v="1022.03"/>
    <n v="14096"/>
    <n v="1022.0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075"/>
    <n v="27371"/>
    <s v="Capitalized"/>
    <s v="Conversion with Liftgate - Container Delivery Truck #4"/>
    <m/>
    <m/>
    <n v="1"/>
    <m/>
    <n v="0"/>
    <s v="CAPITAL INDUSTRIAL"/>
    <m/>
    <s v="TRUCKS AND TRAILERS"/>
    <s v="TBA"/>
    <s v="Non-Rolling Stock"/>
    <m/>
    <m/>
    <d v="2013-12-31T00:00:00"/>
    <d v="2013-12-31T00:00:00"/>
    <s v="2149-13-0017-1"/>
    <n v="300"/>
    <n v="14040"/>
    <n v="9990.93"/>
    <n v="14046"/>
    <n v="9990.93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0007"/>
    <s v="P"/>
    <s v="Capitalized"/>
    <s v="Install catch basin and attach to existing storm water drain"/>
    <m/>
    <m/>
    <n v="1"/>
    <m/>
    <n v="0"/>
    <s v="KAMIN EXCAVATION LLC"/>
    <m/>
    <s v="LEASEHOLD IMPROVEMENTS"/>
    <s v="LEASEHOLD IMPROVEMENTS"/>
    <m/>
    <m/>
    <m/>
    <d v="2013-12-30T00:00:00"/>
    <d v="2013-12-30T00:00:00"/>
    <s v="2149-13-0019-1"/>
    <n v="600"/>
    <n v="14090"/>
    <n v="4622.1000000000004"/>
    <n v="14096"/>
    <n v="4622.1000000000004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995"/>
    <s v="P"/>
    <s v="Capitalized"/>
    <s v="40 Yd ROLF Dropbox with Lid"/>
    <m/>
    <m/>
    <n v="4"/>
    <m/>
    <n v="0"/>
    <s v="CAPITAL INDUSTRIES, INC."/>
    <m/>
    <s v="CONTAINERS"/>
    <s v="TBA"/>
    <m/>
    <s v="40 YD"/>
    <s v="RO Box"/>
    <d v="2013-12-31T00:00:00"/>
    <d v="2013-12-31T00:00:00"/>
    <s v="2149-13-0018-1"/>
    <n v="1200"/>
    <n v="14050"/>
    <n v="24400"/>
    <n v="14056"/>
    <n v="21011.06"/>
    <n v="3388.9399999999987"/>
    <n v="677.76"/>
    <n v="54260"/>
    <n v="169.44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631"/>
    <s v="P"/>
    <s v="Capitalized"/>
    <s v="95 Gallon Grey Solid Waste Cart and Lids"/>
    <m/>
    <m/>
    <n v="30"/>
    <m/>
    <n v="0"/>
    <s v="REHRIG PACIFIC COMPANY"/>
    <m/>
    <s v="CONTAINERS"/>
    <s v="TBA"/>
    <m/>
    <m/>
    <m/>
    <d v="2013-06-11T00:00:00"/>
    <d v="2013-06-11T00:00:00"/>
    <s v="2149-13-0009-1"/>
    <n v="700"/>
    <n v="14050"/>
    <n v="1416.9"/>
    <n v="14056"/>
    <n v="1416.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630"/>
    <s v="P"/>
    <s v="Capitalized"/>
    <s v="95 Gallon Recycle Cart and Green Lid"/>
    <m/>
    <m/>
    <n v="100"/>
    <m/>
    <n v="0"/>
    <s v="REHRIG PACIFIC COMPANY"/>
    <m/>
    <s v="CONTAINERS"/>
    <s v="TBA"/>
    <m/>
    <m/>
    <m/>
    <d v="2013-06-11T00:00:00"/>
    <d v="2013-06-11T00:00:00"/>
    <s v="2149-13-0009-1"/>
    <n v="700"/>
    <n v="14050"/>
    <n v="7104.58"/>
    <n v="14056"/>
    <n v="7104.5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629"/>
    <s v="P"/>
    <s v="Capitalized"/>
    <s v="35 Gallon Grey Solid Waste Carts and Lids"/>
    <m/>
    <m/>
    <n v="100"/>
    <m/>
    <n v="0"/>
    <s v="REHRIG PACIFIC COMPANY"/>
    <m/>
    <s v="CONTAINERS"/>
    <s v="TBA"/>
    <m/>
    <m/>
    <m/>
    <d v="2013-06-11T00:00:00"/>
    <d v="2013-06-11T00:00:00"/>
    <s v="2149-13-0009-1"/>
    <n v="700"/>
    <n v="14050"/>
    <n v="3273.45"/>
    <n v="14056"/>
    <n v="3273.4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576"/>
    <s v="P"/>
    <s v="Capitalized"/>
    <s v="Wash Pad and Wash Water"/>
    <m/>
    <m/>
    <n v="1"/>
    <m/>
    <n v="0"/>
    <m/>
    <m/>
    <s v="LEASEHOLD IMPROVEMENTS"/>
    <s v="LEASEHOLD IMPROVEMENTS"/>
    <m/>
    <m/>
    <m/>
    <d v="2013-12-31T00:00:00"/>
    <d v="2013-12-31T00:00:00"/>
    <s v="2149-13-0011-1"/>
    <n v="506"/>
    <n v="14090"/>
    <n v="17617.71"/>
    <n v="14096"/>
    <n v="17617.71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9513"/>
    <n v="27371"/>
    <s v="Capitalized"/>
    <s v="Lift gate - Container Delivery Truck"/>
    <m/>
    <m/>
    <n v="1"/>
    <m/>
    <n v="0"/>
    <m/>
    <m/>
    <s v="TRUCKS AND TRAILERS"/>
    <s v="TBA"/>
    <s v="Non-Rolling Stock"/>
    <m/>
    <m/>
    <d v="2013-12-13T00:00:00"/>
    <d v="2013-12-13T00:00:00"/>
    <s v="2149-13-0017-1"/>
    <n v="300"/>
    <n v="14040"/>
    <n v="8711.2999999999993"/>
    <n v="14046"/>
    <n v="8711.2999999999993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7424"/>
    <s v="P"/>
    <s v="Capitalized"/>
    <s v="1Yd REL Metal Containers"/>
    <m/>
    <m/>
    <n v="10"/>
    <m/>
    <n v="0"/>
    <s v="CAPITAL INDUSTRIES, INC."/>
    <m/>
    <s v="CONTAINERS"/>
    <s v="TBA"/>
    <m/>
    <s v="1 YD"/>
    <s v="FEL/REL/SL Metal"/>
    <d v="2013-09-19T00:00:00"/>
    <d v="2013-09-19T00:00:00"/>
    <s v="2149-13-0006-1"/>
    <n v="1200"/>
    <n v="14050"/>
    <n v="4100"/>
    <n v="14056"/>
    <n v="3616"/>
    <n v="484"/>
    <n v="113.88"/>
    <n v="54260"/>
    <n v="28.4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7208"/>
    <s v="P"/>
    <s v="Capitalized"/>
    <s v="1965 TYPE HT TANK TRAILER"/>
    <m/>
    <m/>
    <n v="1"/>
    <s v="0MF312104"/>
    <n v="1965"/>
    <s v="Fruehauf"/>
    <s v="Other"/>
    <s v="TRUCKS AND TRAILERS"/>
    <s v="TBA"/>
    <s v="Other Trailer"/>
    <m/>
    <m/>
    <d v="2008-11-03T00:00:00"/>
    <d v="2008-11-03T00:00:00"/>
    <m/>
    <n v="300"/>
    <n v="14040"/>
    <n v="1000"/>
    <n v="14046"/>
    <n v="1000"/>
    <n v="0"/>
    <n v="0"/>
    <n v="51260"/>
    <n v="0"/>
    <s v="A"/>
    <s v="LeMay Enterprises"/>
    <n v="8011"/>
    <s v=" "/>
    <s v="STL"/>
    <s v="YES"/>
    <s v="TBD"/>
    <n v="0"/>
    <x v="20"/>
    <m/>
    <m/>
    <m/>
    <m/>
    <m/>
    <m/>
    <m/>
    <m/>
    <m/>
    <m/>
    <x v="1"/>
  </r>
  <r>
    <n v="2149"/>
    <n v="107054"/>
    <s v="P"/>
    <s v="Capitalized"/>
    <s v="10yd ROL Containers"/>
    <m/>
    <m/>
    <n v="3"/>
    <m/>
    <n v="0"/>
    <s v="WASTEQUIP"/>
    <m/>
    <s v="CONTAINERS"/>
    <s v="TBA"/>
    <m/>
    <s v="10 YD"/>
    <s v="RO Box"/>
    <d v="2013-08-22T00:00:00"/>
    <d v="2013-08-22T00:00:00"/>
    <s v="2149-13-0015-1"/>
    <n v="1200"/>
    <n v="14050"/>
    <n v="9676"/>
    <n v="14056"/>
    <n v="8600.83"/>
    <n v="1075.17"/>
    <n v="268.76"/>
    <n v="54260"/>
    <n v="67.19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5015"/>
    <s v="P"/>
    <s v="Capitalized"/>
    <s v="48 Gal Carts"/>
    <m/>
    <m/>
    <n v="100"/>
    <m/>
    <n v="0"/>
    <s v="TOTER INCORPORATED"/>
    <m/>
    <s v="CONTAINERS"/>
    <s v="TBA"/>
    <m/>
    <m/>
    <m/>
    <d v="2013-06-11T00:00:00"/>
    <d v="2013-06-11T00:00:00"/>
    <s v="2149-13-0009-1"/>
    <n v="700"/>
    <n v="14050"/>
    <n v="7094.89"/>
    <n v="14056"/>
    <n v="7094.8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3832"/>
    <s v="P"/>
    <s v="Capitalized"/>
    <s v="1.5yd Metal REL Containers"/>
    <m/>
    <m/>
    <n v="23"/>
    <m/>
    <n v="0"/>
    <s v="ENTERPRISE SALES, INC."/>
    <m/>
    <s v="CONTAINERS"/>
    <s v="TBA"/>
    <m/>
    <s v="1.5 YD"/>
    <s v="FEL/REL/SL Metal"/>
    <d v="2013-04-30T00:00:00"/>
    <d v="2013-04-30T00:00:00"/>
    <s v="2149-13-0004-1"/>
    <n v="1200"/>
    <n v="14050"/>
    <n v="10212"/>
    <n v="14056"/>
    <n v="9361.01"/>
    <n v="850.98999999999978"/>
    <n v="283.68"/>
    <n v="54260"/>
    <n v="70.92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3242"/>
    <s v="P"/>
    <s v="Capitalized"/>
    <s v="ROLF Lids-Solid Top-Qty 4, 20 yd"/>
    <m/>
    <m/>
    <n v="1"/>
    <m/>
    <n v="0"/>
    <s v="Vancouver Hauling"/>
    <m/>
    <s v="CONTAINERS"/>
    <s v="TBA"/>
    <m/>
    <m/>
    <m/>
    <d v="2013-03-01T00:00:00"/>
    <d v="2013-03-01T00:00:00"/>
    <s v="2149-13-0005-1"/>
    <n v="1200"/>
    <n v="14050"/>
    <n v="5263.3"/>
    <n v="14056"/>
    <n v="4897.49"/>
    <n v="365.8100000000004"/>
    <n v="146.19999999999999"/>
    <n v="54260"/>
    <n v="36.549999999999997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00467"/>
    <s v="P"/>
    <s v="Capitalized"/>
    <s v="LT Contract"/>
    <m/>
    <m/>
    <n v="1"/>
    <m/>
    <n v="0"/>
    <m/>
    <m/>
    <s v="LONG TERM CONTRACTS"/>
    <s v="LONG TERM CONTRACTS"/>
    <m/>
    <m/>
    <m/>
    <d v="2001-07-01T00:00:00"/>
    <d v="2002-01-01T00:00:00"/>
    <m/>
    <n v="2000"/>
    <n v="15250"/>
    <n v="19856.82"/>
    <n v="15256"/>
    <n v="19856.82"/>
    <n v="0"/>
    <n v="0"/>
    <n v="70269"/>
    <n v="0"/>
    <s v="A"/>
    <s v="Mason County"/>
    <s v="NA"/>
    <s v=" "/>
    <s v="STL"/>
    <s v="YES"/>
    <e v="#N/A"/>
    <e v="#N/A"/>
    <x v="21"/>
    <m/>
    <m/>
    <m/>
    <m/>
    <m/>
    <m/>
    <m/>
    <m/>
    <m/>
    <m/>
    <x v="1"/>
  </r>
  <r>
    <n v="2149"/>
    <n v="97283"/>
    <s v="P"/>
    <s v="Capitalized"/>
    <s v="Work on Bioretention Swale &amp; Filtration"/>
    <m/>
    <m/>
    <n v="1"/>
    <m/>
    <n v="0"/>
    <s v="KAMIN EXCAVATION LLC"/>
    <m/>
    <s v="LEASEHOLD IMPROVEMENTS"/>
    <s v="LEASEHOLD IMPROVEMENTS"/>
    <m/>
    <m/>
    <m/>
    <d v="2012-10-17T00:00:00"/>
    <d v="2012-10-17T00:00:00"/>
    <s v="2149-12-0016-1"/>
    <n v="610"/>
    <n v="14090"/>
    <n v="6889.75"/>
    <n v="14096"/>
    <n v="6889.75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7221"/>
    <s v="P"/>
    <s v="Capitalized"/>
    <s v="New shop improvements - Paint"/>
    <m/>
    <m/>
    <n v="1"/>
    <m/>
    <n v="0"/>
    <m/>
    <m/>
    <s v="LEASEHOLD IMPROVEMENTS"/>
    <s v="LEASEHOLD IMPROVEMENTS"/>
    <m/>
    <m/>
    <m/>
    <d v="2012-10-31T00:00:00"/>
    <d v="2012-10-31T00:00:00"/>
    <s v="2149-12-0009-1"/>
    <n v="610"/>
    <n v="14090"/>
    <n v="11317.92"/>
    <n v="14096"/>
    <n v="11317.92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7148"/>
    <s v="P"/>
    <s v="Capitalized"/>
    <s v="Landscaping - Septic System"/>
    <m/>
    <m/>
    <n v="1"/>
    <m/>
    <n v="0"/>
    <s v="PRO SERVICES"/>
    <m/>
    <s v="LEASEHOLD IMPROVEMENTS"/>
    <s v="LEASEHOLD IMPROVEMENTS"/>
    <m/>
    <m/>
    <m/>
    <d v="2012-10-31T00:00:00"/>
    <d v="2012-10-31T00:00:00"/>
    <s v="2149-12-0019-1"/>
    <n v="610"/>
    <n v="14090"/>
    <n v="2408.85"/>
    <n v="14096"/>
    <n v="2408.85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5491"/>
    <s v="P"/>
    <s v="Capitalized"/>
    <s v="(4) Drive Cam Units"/>
    <m/>
    <m/>
    <n v="1"/>
    <m/>
    <n v="0"/>
    <s v="Drive Cam"/>
    <m/>
    <s v="SHOP EQUIPMENT"/>
    <s v="TBA"/>
    <m/>
    <m/>
    <m/>
    <d v="2012-07-31T00:00:00"/>
    <d v="2012-07-31T00:00:00"/>
    <s v="2149-12-0018-1"/>
    <n v="500"/>
    <n v="14070"/>
    <n v="2379.38"/>
    <n v="14076"/>
    <n v="2379.38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5050"/>
    <s v="P"/>
    <s v="Capitalized"/>
    <s v="RTA Equipment"/>
    <m/>
    <m/>
    <n v="1"/>
    <m/>
    <n v="0"/>
    <s v="CDW"/>
    <m/>
    <s v="HARDWARE AND SOFTWARE"/>
    <s v="TBA"/>
    <m/>
    <m/>
    <m/>
    <d v="2012-04-30T00:00:00"/>
    <d v="2012-04-30T00:00:00"/>
    <s v="1010-12-0021-1"/>
    <n v="300"/>
    <n v="14110"/>
    <n v="466.06"/>
    <n v="14116"/>
    <n v="466.06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4620"/>
    <s v="P"/>
    <s v="Capitalized"/>
    <s v="New solid top roll-off lids - 20 yard R/O boxes (Upgrades)"/>
    <m/>
    <m/>
    <n v="1"/>
    <m/>
    <n v="0"/>
    <s v="Work performed by distric"/>
    <m/>
    <s v="CONTAINERS"/>
    <s v="TBA"/>
    <m/>
    <m/>
    <m/>
    <d v="2012-06-30T00:00:00"/>
    <d v="2012-06-30T00:00:00"/>
    <s v="2149-12-0017-1"/>
    <n v="500"/>
    <n v="14050"/>
    <n v="2180.86"/>
    <n v="14056"/>
    <n v="2180.8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4099"/>
    <s v="P"/>
    <s v="Capitalized"/>
    <s v="(12) 80  Gallon Carts &amp; (12) 65 Gallon Cart Lids"/>
    <m/>
    <m/>
    <n v="24"/>
    <m/>
    <n v="0"/>
    <s v="REHRIG PACIFIC COMPANY"/>
    <m/>
    <s v="CONTAINERS"/>
    <s v="TBA"/>
    <m/>
    <m/>
    <m/>
    <d v="2012-05-31T00:00:00"/>
    <d v="2012-05-31T00:00:00"/>
    <s v="2149-12-0014-1"/>
    <n v="700"/>
    <n v="14050"/>
    <n v="432.98"/>
    <n v="14056"/>
    <n v="432.9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4098"/>
    <s v="P"/>
    <s v="Capitalized"/>
    <s v="35 Gallon Carts - ROC Grey"/>
    <m/>
    <m/>
    <n v="300"/>
    <m/>
    <n v="0"/>
    <s v="REHRIG PACIFIC COMPANY"/>
    <m/>
    <s v="CONTAINERS"/>
    <s v="TBA"/>
    <m/>
    <m/>
    <m/>
    <d v="2012-05-31T00:00:00"/>
    <d v="2012-05-31T00:00:00"/>
    <s v="2149-12-0014-2"/>
    <n v="700"/>
    <n v="14050"/>
    <n v="11143.49"/>
    <n v="14056"/>
    <n v="11143.4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3958"/>
    <s v="P"/>
    <s v="Capitalized"/>
    <s v="HP Probook 6460b (SN = CNU2181BMZ) and Docking Station (SN = CNU213X4H4)"/>
    <m/>
    <m/>
    <n v="1"/>
    <m/>
    <n v="0"/>
    <s v="CDW"/>
    <m/>
    <s v="HARDWARE AND SOFTWARE"/>
    <s v="TBA"/>
    <m/>
    <m/>
    <m/>
    <d v="2012-05-20T00:00:00"/>
    <d v="2012-05-20T00:00:00"/>
    <s v="2149-12-0015-1"/>
    <n v="300"/>
    <n v="14110"/>
    <n v="949.78"/>
    <n v="14116"/>
    <n v="949.78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3745"/>
    <s v="P"/>
    <s v="Capitalized"/>
    <s v="48 Gallon Granite Carts"/>
    <m/>
    <m/>
    <n v="100"/>
    <m/>
    <n v="0"/>
    <s v="TOTER INCORPORATED"/>
    <m/>
    <s v="CONTAINERS"/>
    <s v="TBA"/>
    <m/>
    <m/>
    <m/>
    <d v="2012-05-01T00:00:00"/>
    <d v="2012-05-01T00:00:00"/>
    <s v="2149-12-0014-3"/>
    <n v="700"/>
    <n v="14050"/>
    <n v="5555.5"/>
    <n v="14056"/>
    <n v="5555.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3744"/>
    <s v="P"/>
    <s v="Capitalized"/>
    <s v="1.5 Yard Dark Blue Containers"/>
    <m/>
    <m/>
    <n v="23"/>
    <m/>
    <n v="0"/>
    <s v="CAPITAL INDUSTRIES, INC."/>
    <m/>
    <s v="CONTAINERS"/>
    <s v="TBA"/>
    <m/>
    <s v="1.5 YD"/>
    <s v="FEL/REL/SL Metal"/>
    <d v="2012-04-30T00:00:00"/>
    <d v="2012-04-30T00:00:00"/>
    <s v="2149-12-0008-1"/>
    <n v="1200"/>
    <n v="14050"/>
    <n v="10925"/>
    <n v="14056"/>
    <n v="10925"/>
    <n v="0"/>
    <n v="303.43"/>
    <n v="54260"/>
    <n v="75.819999999999993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1092"/>
    <s v="P"/>
    <s v="Capitalized"/>
    <s v="New Tire Torque Tool"/>
    <m/>
    <m/>
    <n v="1"/>
    <m/>
    <n v="0"/>
    <s v="TDS - Tire Distribution S"/>
    <m/>
    <s v="SHOP EQUIPMENT"/>
    <s v="TBA"/>
    <m/>
    <m/>
    <m/>
    <d v="2012-01-01T00:00:00"/>
    <d v="2012-01-01T00:00:00"/>
    <s v="2149-12-0013-1"/>
    <n v="500"/>
    <n v="14070"/>
    <n v="6806.52"/>
    <n v="14076"/>
    <n v="6806.5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1082"/>
    <s v="P"/>
    <s v="Capitalized"/>
    <s v="New Solid Top Roll-Off Lids - 20yard RO Boxes"/>
    <m/>
    <m/>
    <n v="1"/>
    <m/>
    <n v="0"/>
    <s v="Intercompany - (2010)"/>
    <m/>
    <s v="CONTAINERS"/>
    <s v="TBA"/>
    <m/>
    <m/>
    <m/>
    <d v="2012-02-29T00:00:00"/>
    <d v="2012-02-29T00:00:00"/>
    <s v="2149-12-0002-1"/>
    <n v="500"/>
    <n v="14050"/>
    <n v="3772.11"/>
    <n v="14056"/>
    <n v="3772.1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90451"/>
    <s v="P"/>
    <s v="Capitalized"/>
    <s v="Sony Internet TV (SN = S018092692M)"/>
    <m/>
    <m/>
    <n v="1"/>
    <m/>
    <n v="0"/>
    <s v="cdw"/>
    <m/>
    <s v="HARDWARE AND SOFTWARE"/>
    <s v="TBA"/>
    <m/>
    <m/>
    <m/>
    <d v="2012-01-25T00:00:00"/>
    <d v="2012-01-25T00:00:00"/>
    <s v="1010-12-0018-1"/>
    <n v="500"/>
    <n v="14110"/>
    <n v="559.78"/>
    <n v="14116"/>
    <n v="559.78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8395"/>
    <n v="80465"/>
    <s v="Capitalized"/>
    <s v="Professional Services"/>
    <m/>
    <m/>
    <n v="1"/>
    <m/>
    <n v="0"/>
    <s v="PACLAND-OLYMPIA"/>
    <m/>
    <s v="LEASEHOLD IMPROVEMENTS"/>
    <s v="LEASEHOLD IMPROVEMENTS"/>
    <m/>
    <m/>
    <m/>
    <d v="2011-05-01T00:00:00"/>
    <d v="2011-05-01T00:00:00"/>
    <s v="2149-11-0002-1"/>
    <n v="803"/>
    <n v="14090"/>
    <n v="58.38"/>
    <n v="14096"/>
    <n v="58.38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8168"/>
    <s v="P"/>
    <s v="Capitalized"/>
    <s v="1999 Ford F-150"/>
    <m/>
    <m/>
    <n v="501"/>
    <s v="1FTRX17W5XNA40560"/>
    <n v="1999"/>
    <s v="Ford"/>
    <s v="Ford"/>
    <s v="TRUCKS AND TRAILERS"/>
    <s v="TBA"/>
    <s v="Pickup Truck"/>
    <m/>
    <m/>
    <d v="1999-03-01T00:00:00"/>
    <d v="1999-03-01T00:00:00"/>
    <m/>
    <n v="500"/>
    <n v="14040"/>
    <n v="25000"/>
    <n v="14046"/>
    <n v="25000"/>
    <n v="0"/>
    <n v="0"/>
    <n v="51260"/>
    <n v="0"/>
    <s v="A"/>
    <s v="CRC"/>
    <s v="M-1"/>
    <s v=" "/>
    <s v="STL"/>
    <s v="YES"/>
    <s v="TBD"/>
    <n v="0"/>
    <x v="20"/>
    <m/>
    <m/>
    <m/>
    <m/>
    <m/>
    <m/>
    <m/>
    <m/>
    <m/>
    <m/>
    <x v="1"/>
  </r>
  <r>
    <n v="2149"/>
    <n v="88166"/>
    <n v="20910"/>
    <s v="Capitalized"/>
    <s v="ADT Alarm expansion (new office &amp; shop space)"/>
    <m/>
    <m/>
    <n v="1"/>
    <m/>
    <n v="0"/>
    <s v="ADT SECURITY SYSTEMS"/>
    <m/>
    <s v="LEASEHOLD IMPROVEMENTS"/>
    <s v="LEASEHOLD IMPROVEMENTS"/>
    <m/>
    <m/>
    <m/>
    <d v="2011-09-30T00:00:00"/>
    <d v="2011-09-30T00:00:00"/>
    <s v="2149-11-0024-1"/>
    <n v="709"/>
    <n v="14090"/>
    <n v="2840.07"/>
    <n v="14096"/>
    <n v="2840.0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7950"/>
    <s v="P"/>
    <s v="Capitalized"/>
    <s v="Panasonic Toughbook 53 (SN = %1ITSA31045)"/>
    <m/>
    <m/>
    <n v="1"/>
    <m/>
    <n v="0"/>
    <s v="CDW"/>
    <m/>
    <s v="HARDWARE AND SOFTWARE"/>
    <s v="TBA"/>
    <m/>
    <m/>
    <m/>
    <d v="2011-11-25T00:00:00"/>
    <d v="2011-11-25T00:00:00"/>
    <s v="2149-11-0025-1"/>
    <n v="300"/>
    <n v="14110"/>
    <n v="1537.57"/>
    <n v="14116"/>
    <n v="1537.57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7674"/>
    <n v="80465"/>
    <s v="Capitalized"/>
    <s v="Stormwater Improvements"/>
    <m/>
    <m/>
    <n v="1"/>
    <m/>
    <n v="0"/>
    <s v="PACLAND"/>
    <m/>
    <s v="LEASEHOLD IMPROVEMENTS"/>
    <s v="LEASEHOLD IMPROVEMENTS"/>
    <m/>
    <m/>
    <m/>
    <d v="2011-03-31T00:00:00"/>
    <d v="2011-03-31T00:00:00"/>
    <s v="2149-11-0002-1"/>
    <n v="803"/>
    <n v="14090"/>
    <n v="1738.83"/>
    <n v="14096"/>
    <n v="1738.8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7673"/>
    <n v="80465"/>
    <s v="Capitalized"/>
    <s v="Observe Construction site &amp; Not Devistions from Plans"/>
    <m/>
    <m/>
    <n v="1"/>
    <m/>
    <n v="0"/>
    <s v="PACLAND-OLYMPIA"/>
    <m/>
    <s v="LEASEHOLD IMPROVEMENTS"/>
    <s v="LEASEHOLD IMPROVEMENTS"/>
    <m/>
    <m/>
    <m/>
    <d v="2011-03-31T00:00:00"/>
    <d v="2011-03-31T00:00:00"/>
    <s v="2149-11-0002-1"/>
    <n v="803"/>
    <n v="14090"/>
    <n v="613.03"/>
    <n v="14096"/>
    <n v="613.0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7672"/>
    <n v="80465"/>
    <s v="Capitalized"/>
    <s v="Observe Construction site &amp; Not Devistions from Plans"/>
    <m/>
    <m/>
    <n v="1"/>
    <m/>
    <n v="0"/>
    <s v="PACLAND-OLYMPIA"/>
    <m/>
    <s v="LEASEHOLD IMPROVEMENTS"/>
    <s v="LEASEHOLD IMPROVEMENTS"/>
    <m/>
    <m/>
    <m/>
    <d v="2011-03-31T00:00:00"/>
    <d v="2011-03-31T00:00:00"/>
    <s v="2149-11-0002-1"/>
    <n v="803"/>
    <n v="14090"/>
    <n v="2665"/>
    <n v="14096"/>
    <n v="2665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7671"/>
    <n v="80465"/>
    <s v="Capitalized"/>
    <s v="Observation of Construction Site &amp; Document Deviations (from approved Plans)"/>
    <m/>
    <m/>
    <n v="1"/>
    <m/>
    <n v="0"/>
    <s v="PACLAND"/>
    <m/>
    <s v="LEASEHOLD IMPROVEMENTS"/>
    <s v="LEASEHOLD IMPROVEMENTS"/>
    <m/>
    <m/>
    <m/>
    <d v="2011-03-31T00:00:00"/>
    <d v="2011-03-31T00:00:00"/>
    <s v="2149-11-0002-1"/>
    <n v="803"/>
    <n v="14090"/>
    <n v="730.63"/>
    <n v="14096"/>
    <n v="730.6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6096"/>
    <s v="P"/>
    <s v="Capitalized"/>
    <s v="1.5 Yard Commercial Containers"/>
    <m/>
    <m/>
    <n v="14"/>
    <m/>
    <n v="0"/>
    <m/>
    <m/>
    <s v="CONTAINERS"/>
    <s v="TBA"/>
    <m/>
    <s v="1.5 YD"/>
    <s v="FEL/REL/SL Plastic"/>
    <d v="2011-01-01T00:00:00"/>
    <d v="2011-01-01T00:00:00"/>
    <m/>
    <n v="300"/>
    <n v="14050"/>
    <n v="0.01"/>
    <n v="14056"/>
    <n v="0.0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5503"/>
    <s v="P"/>
    <s v="Capitalized"/>
    <s v="7.5 hp 80 Gallon Air Compressor"/>
    <m/>
    <m/>
    <n v="1"/>
    <m/>
    <n v="0"/>
    <m/>
    <m/>
    <s v="SHOP EQUIPMENT"/>
    <s v="TBA"/>
    <m/>
    <m/>
    <m/>
    <d v="2011-07-01T00:00:00"/>
    <d v="2011-07-01T00:00:00"/>
    <s v="2149-11-0023-1"/>
    <n v="500"/>
    <n v="14070"/>
    <n v="5203.2"/>
    <n v="14076"/>
    <n v="5203.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5183"/>
    <s v="P"/>
    <s v="Capitalized"/>
    <s v="2 Yard REL Containers (Plastic)"/>
    <m/>
    <m/>
    <n v="66"/>
    <m/>
    <n v="0"/>
    <s v="REHRIG PACIFIC COMPANY"/>
    <m/>
    <s v="CONTAINERS"/>
    <s v="TBA"/>
    <m/>
    <s v="2 YD"/>
    <s v="FEL/REL/SL Plastic"/>
    <d v="2011-06-10T00:00:00"/>
    <d v="2011-06-10T00:00:00"/>
    <s v="2149-11-0003-1"/>
    <n v="700"/>
    <n v="14050"/>
    <n v="30588.26"/>
    <n v="14056"/>
    <n v="30588.2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5006"/>
    <n v="80465"/>
    <s v="Capitalized"/>
    <s v="Paving and Stormwater improvements - final"/>
    <m/>
    <m/>
    <n v="1"/>
    <m/>
    <n v="0"/>
    <s v="JIMINI CONSTRUCTION LLC"/>
    <m/>
    <s v="LEASEHOLD IMPROVEMENTS"/>
    <s v="LEASEHOLD IMPROVEMENTS"/>
    <m/>
    <m/>
    <m/>
    <d v="2011-03-31T00:00:00"/>
    <d v="2011-03-31T00:00:00"/>
    <s v="2149-11-0002-1"/>
    <n v="803"/>
    <n v="14090"/>
    <n v="67750"/>
    <n v="14096"/>
    <n v="67750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4169"/>
    <s v="P"/>
    <s v="Capitalized"/>
    <s v="1.5 Yard Commercial Containers"/>
    <m/>
    <m/>
    <n v="12"/>
    <m/>
    <n v="0"/>
    <m/>
    <m/>
    <s v="CONTAINERS"/>
    <s v="TBA"/>
    <m/>
    <s v="1.5 YD"/>
    <s v="FEL/REL/SL Metal"/>
    <d v="2008-11-03T00:00:00"/>
    <d v="2008-11-03T00:00:00"/>
    <m/>
    <n v="1200"/>
    <n v="14050"/>
    <n v="1410.49"/>
    <n v="14056"/>
    <n v="1410.49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82337"/>
    <n v="82027"/>
    <s v="Capitalized"/>
    <s v="Property Security Fence - Final Payment"/>
    <m/>
    <m/>
    <n v="1"/>
    <m/>
    <n v="0"/>
    <s v="Rock Bottom Fencing"/>
    <m/>
    <s v="LEASEHOLD IMPROVEMENTS"/>
    <s v="LEASEHOLD IMPROVEMENTS"/>
    <m/>
    <m/>
    <m/>
    <d v="2011-04-30T00:00:00"/>
    <d v="2011-04-30T00:00:00"/>
    <s v="2149-10-0013-1"/>
    <n v="802"/>
    <n v="14090"/>
    <n v="2444.87"/>
    <n v="14096"/>
    <n v="2444.8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2314"/>
    <s v="P"/>
    <s v="Capitalized"/>
    <s v="1 YD REL Containers (Metal)"/>
    <m/>
    <m/>
    <n v="6"/>
    <m/>
    <n v="0"/>
    <s v="Enterprise Sales, Inc."/>
    <m/>
    <s v="CONTAINERS"/>
    <s v="TBA"/>
    <m/>
    <s v="1 YD"/>
    <s v="FEL/REL/SL Metal"/>
    <d v="2011-05-16T00:00:00"/>
    <d v="2011-05-16T00:00:00"/>
    <s v="2149-11-0020-1"/>
    <n v="1200"/>
    <n v="14050"/>
    <n v="2610"/>
    <n v="14056"/>
    <n v="261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2027"/>
    <s v="P"/>
    <s v="Capitalized"/>
    <s v="Property Security Fence - S. &amp; W. Side"/>
    <m/>
    <m/>
    <n v="1"/>
    <m/>
    <n v="0"/>
    <m/>
    <m/>
    <s v="LEASEHOLD IMPROVEMENTS"/>
    <s v="LEASEHOLD IMPROVEMENTS"/>
    <m/>
    <m/>
    <m/>
    <d v="2011-04-30T00:00:00"/>
    <d v="2011-04-30T00:00:00"/>
    <s v="2149-10-0013-1"/>
    <n v="802"/>
    <n v="14090"/>
    <n v="2444.88"/>
    <n v="14096"/>
    <n v="2444.88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1955"/>
    <s v="P"/>
    <s v="Capitalized"/>
    <s v="20 YD Drop Boxes w/ Solid Lids"/>
    <m/>
    <m/>
    <n v="3"/>
    <m/>
    <n v="0"/>
    <s v="ENTERPRISE SALES, INC."/>
    <m/>
    <s v="CONTAINERS"/>
    <s v="TBA"/>
    <m/>
    <s v="20 YD"/>
    <s v="RO Box"/>
    <d v="2011-05-15T00:00:00"/>
    <d v="2011-05-15T00:00:00"/>
    <s v="2149-11-0018-1"/>
    <n v="1200"/>
    <n v="14050"/>
    <n v="16462"/>
    <n v="14056"/>
    <n v="1646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0809"/>
    <n v="80465"/>
    <s v="Capitalized"/>
    <s v="Draw #3 for parking and storage site work"/>
    <m/>
    <m/>
    <n v="1"/>
    <m/>
    <n v="0"/>
    <s v="KAMIN EXCAVATION LLC"/>
    <m/>
    <s v="LEASEHOLD IMPROVEMENTS"/>
    <s v="LEASEHOLD IMPROVEMENTS"/>
    <m/>
    <m/>
    <m/>
    <d v="2011-03-31T00:00:00"/>
    <d v="2011-03-31T00:00:00"/>
    <s v="2149-10-0014-1"/>
    <n v="803"/>
    <n v="14090"/>
    <n v="1853"/>
    <n v="14096"/>
    <n v="185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0708"/>
    <n v="80465"/>
    <s v="Capitalized"/>
    <s v="Paving Work at Mason County - paving and sub-grade prep"/>
    <m/>
    <m/>
    <n v="1"/>
    <m/>
    <n v="0"/>
    <s v="Jimini Construction LLC"/>
    <m/>
    <s v="LEASEHOLD IMPROVEMENTS"/>
    <s v="LEASEHOLD IMPROVEMENTS"/>
    <m/>
    <m/>
    <m/>
    <d v="2011-03-31T00:00:00"/>
    <d v="2011-03-31T00:00:00"/>
    <s v="2149-10-0014-1"/>
    <n v="803"/>
    <n v="14090"/>
    <n v="72899"/>
    <n v="14096"/>
    <n v="72899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0465"/>
    <s v="P"/>
    <s v="Capitalized"/>
    <s v="Paving &amp; Stormwater Improvements"/>
    <m/>
    <m/>
    <n v="1"/>
    <m/>
    <n v="0"/>
    <s v="Agate Land Surveying PLLC"/>
    <m/>
    <s v="LEASEHOLD IMPROVEMENTS"/>
    <s v="LEASEHOLD IMPROVEMENTS"/>
    <m/>
    <m/>
    <m/>
    <d v="2011-03-31T00:00:00"/>
    <d v="2011-03-31T00:00:00"/>
    <s v="2149-10-0014-1"/>
    <n v="803"/>
    <n v="14090"/>
    <n v="85803.33"/>
    <n v="14096"/>
    <n v="85803.3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80334"/>
    <s v="P"/>
    <s v="Capitalized"/>
    <s v="2000 Peterbilt 378 Tractor"/>
    <m/>
    <m/>
    <n v="1"/>
    <s v="1XPFPB9X4YD516351"/>
    <n v="2000"/>
    <s v="Peterbilt 378"/>
    <s v="Road Tractor"/>
    <s v="TRUCKS AND TRAILERS"/>
    <s v="TBA"/>
    <s v="Road Tractor"/>
    <m/>
    <m/>
    <d v="2004-04-26T00:00:00"/>
    <d v="2004-04-26T00:00:00"/>
    <n v="42112001"/>
    <n v="700"/>
    <n v="14040"/>
    <n v="62187"/>
    <n v="14046"/>
    <n v="62187"/>
    <n v="0"/>
    <n v="0"/>
    <n v="51260"/>
    <n v="0"/>
    <s v="A"/>
    <n v="0"/>
    <n v="17"/>
    <s v=" "/>
    <s v="STL"/>
    <s v="YES"/>
    <s v="TBD"/>
    <n v="0"/>
    <x v="20"/>
    <m/>
    <m/>
    <m/>
    <m/>
    <m/>
    <m/>
    <m/>
    <m/>
    <m/>
    <m/>
    <x v="1"/>
  </r>
  <r>
    <n v="2149"/>
    <n v="79740"/>
    <n v="79739"/>
    <s v="Capitalized"/>
    <s v="Shop diagnostic laptop (additional funds)"/>
    <m/>
    <m/>
    <n v="1"/>
    <m/>
    <n v="0"/>
    <s v="SNAP ON BUSINESS SOLUTION"/>
    <m/>
    <s v="HARDWARE AND SOFTWARE"/>
    <s v="TBA"/>
    <m/>
    <m/>
    <m/>
    <d v="2011-01-01T00:00:00"/>
    <d v="2011-01-01T00:00:00"/>
    <s v="2149-10-0020-1"/>
    <n v="211"/>
    <n v="14110"/>
    <n v="1674.5"/>
    <n v="14116"/>
    <n v="1674.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9739"/>
    <s v="P"/>
    <s v="Capitalized"/>
    <s v="Shop diagnostic laptop computer and software"/>
    <m/>
    <m/>
    <n v="1"/>
    <m/>
    <n v="0"/>
    <s v="SNAP ON BUSINESS SOLUTION"/>
    <m/>
    <s v="HARDWARE AND SOFTWARE"/>
    <s v="TBA"/>
    <m/>
    <m/>
    <m/>
    <d v="2011-01-01T00:00:00"/>
    <d v="2011-01-01T00:00:00"/>
    <s v="2149-10-0020-2"/>
    <n v="211"/>
    <n v="14110"/>
    <n v="7417"/>
    <n v="14116"/>
    <n v="7417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9735"/>
    <n v="79734"/>
    <s v="Capitalized"/>
    <s v="20 inch Cable Extension for Drive Cam Units"/>
    <m/>
    <m/>
    <n v="1"/>
    <m/>
    <n v="0"/>
    <s v="DRIVECAM"/>
    <m/>
    <s v="SHOP EQUIPMENT"/>
    <s v="TBA"/>
    <m/>
    <m/>
    <m/>
    <d v="2011-01-01T00:00:00"/>
    <d v="2011-01-01T00:00:00"/>
    <s v="2149-10-0023-1"/>
    <n v="500"/>
    <n v="14070"/>
    <n v="53.66"/>
    <n v="14076"/>
    <n v="53.66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9734"/>
    <s v="P"/>
    <s v="Capitalized"/>
    <s v="(3) Drive Cam Units"/>
    <m/>
    <m/>
    <n v="1"/>
    <m/>
    <n v="0"/>
    <s v="DRIVECAM"/>
    <m/>
    <s v="SHOP EQUIPMENT"/>
    <s v="TBA"/>
    <m/>
    <m/>
    <m/>
    <d v="2011-01-01T00:00:00"/>
    <d v="2011-01-01T00:00:00"/>
    <s v="2149-10-0023-1"/>
    <n v="500"/>
    <n v="14070"/>
    <n v="1842.29"/>
    <n v="14076"/>
    <n v="1842.2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9564"/>
    <s v="P"/>
    <s v="Capitalized"/>
    <s v="New Cart Washer"/>
    <m/>
    <m/>
    <n v="1"/>
    <m/>
    <n v="0"/>
    <s v="Aaqua Tools, Inc."/>
    <m/>
    <s v="SHOP EQUIPMENT"/>
    <s v="TBA"/>
    <m/>
    <m/>
    <m/>
    <d v="2010-12-08T00:00:00"/>
    <d v="2010-12-08T00:00:00"/>
    <s v="2149-10-0022-1"/>
    <n v="500"/>
    <n v="14070"/>
    <n v="3253.09"/>
    <n v="14076"/>
    <n v="3253.0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8750"/>
    <s v="P"/>
    <s v="Capitalized"/>
    <s v="New lighting for Mason Co. Shop"/>
    <m/>
    <m/>
    <n v="1"/>
    <m/>
    <n v="0"/>
    <s v="HIRED HANDS LLC"/>
    <m/>
    <s v="LEASEHOLD IMPROVEMENTS"/>
    <s v="LEASEHOLD IMPROVEMENTS"/>
    <m/>
    <m/>
    <m/>
    <d v="2010-12-15T00:00:00"/>
    <d v="2010-12-15T00:00:00"/>
    <s v="2149-10-0019-1"/>
    <n v="807"/>
    <n v="14090"/>
    <n v="4681.47"/>
    <n v="14096"/>
    <n v="4681.4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8749"/>
    <s v="P"/>
    <s v="Capitalized"/>
    <s v="New Electronic Marlin Board for Mason County"/>
    <m/>
    <m/>
    <n v="1"/>
    <m/>
    <n v="0"/>
    <s v="THE MARLIN COMPANY"/>
    <m/>
    <s v="HARDWARE AND SOFTWARE"/>
    <s v="TBA"/>
    <m/>
    <m/>
    <m/>
    <d v="2010-12-28T00:00:00"/>
    <d v="2010-12-28T00:00:00"/>
    <s v="2149-10-0021-1"/>
    <n v="300"/>
    <n v="14110"/>
    <n v="3765.82"/>
    <n v="14116"/>
    <n v="3765.82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6985"/>
    <s v="P"/>
    <s v="Capitalized"/>
    <s v="(100) 48 Gallon and (100) 96 Gallon Refuse/Commingle Carts"/>
    <m/>
    <m/>
    <n v="200"/>
    <m/>
    <n v="0"/>
    <s v="TOTER INCORPORATED"/>
    <m/>
    <s v="CONTAINERS"/>
    <s v="TBA"/>
    <m/>
    <m/>
    <m/>
    <d v="2010-09-08T00:00:00"/>
    <d v="2010-09-08T00:00:00"/>
    <s v="2149-10-0001-1"/>
    <n v="700"/>
    <n v="14050"/>
    <n v="11230.24"/>
    <n v="14056"/>
    <n v="11230.2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6923"/>
    <s v="P"/>
    <s v="Capitalized"/>
    <s v="1.5 Yard REL Containers"/>
    <m/>
    <m/>
    <n v="3"/>
    <m/>
    <n v="0"/>
    <s v="WASTEQUIP"/>
    <m/>
    <s v="CONTAINERS"/>
    <s v="TBA"/>
    <m/>
    <s v="1.5 YD"/>
    <s v="FEL/REL/SL Metal"/>
    <d v="2010-07-01T00:00:00"/>
    <d v="2010-07-01T00:00:00"/>
    <s v="2149-10-0012-1"/>
    <n v="1200"/>
    <n v="14050"/>
    <n v="1566.38"/>
    <n v="14056"/>
    <n v="1566.3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6922"/>
    <s v="P"/>
    <s v="Capitalized"/>
    <s v="2  Yard REL Containers"/>
    <m/>
    <m/>
    <n v="32"/>
    <m/>
    <n v="0"/>
    <s v="WASTEQUIP"/>
    <m/>
    <s v="CONTAINERS"/>
    <s v="TBA"/>
    <m/>
    <s v="2 YD"/>
    <s v="FEL/REL/SL Metal"/>
    <d v="2010-07-01T00:00:00"/>
    <d v="2010-07-01T00:00:00"/>
    <s v="2149-10-0011-1"/>
    <n v="1200"/>
    <n v="14050"/>
    <n v="15312.58"/>
    <n v="14056"/>
    <n v="15312.5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6011"/>
    <n v="23895"/>
    <s v="Capitalized"/>
    <s v="Capital Repair; New Transmission - Truck #25"/>
    <m/>
    <m/>
    <n v="1"/>
    <m/>
    <n v="0"/>
    <s v="The Gear Box, Inc."/>
    <m/>
    <s v="TRUCKS AND TRAILERS"/>
    <s v="TBA"/>
    <s v="Non-Rolling Stock"/>
    <m/>
    <m/>
    <d v="2010-06-05T00:00:00"/>
    <d v="2010-06-05T00:00:00"/>
    <s v="2149-10-0010-1"/>
    <n v="300"/>
    <n v="14040"/>
    <n v="5125.25"/>
    <n v="14046"/>
    <n v="5125.25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5814"/>
    <s v="P"/>
    <s v="Capitalized"/>
    <s v="DriveCam Installation Service"/>
    <m/>
    <m/>
    <n v="1"/>
    <m/>
    <n v="0"/>
    <s v="DriveCam"/>
    <m/>
    <s v="SHOP EQUIPMENT"/>
    <s v="TBA"/>
    <m/>
    <m/>
    <m/>
    <d v="2010-04-30T00:00:00"/>
    <d v="2010-04-30T00:00:00"/>
    <s v="2149-10-0017-1"/>
    <n v="500"/>
    <n v="14070"/>
    <n v="4000"/>
    <n v="14076"/>
    <n v="4000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5419"/>
    <s v="P"/>
    <s v="Capitalized"/>
    <s v="HP Pro 3000 PC (SN= SMXL0201H77)"/>
    <m/>
    <m/>
    <n v="1"/>
    <m/>
    <n v="0"/>
    <s v="CDW"/>
    <m/>
    <s v="HARDWARE AND SOFTWARE"/>
    <s v="TBA"/>
    <m/>
    <m/>
    <m/>
    <d v="2010-06-15T00:00:00"/>
    <d v="2010-06-15T00:00:00"/>
    <s v="2149-10-0018-1"/>
    <n v="300"/>
    <n v="14110"/>
    <n v="612.22"/>
    <n v="14116"/>
    <n v="612.22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3679"/>
    <s v="P"/>
    <s v="Capitalized"/>
    <s v="(22) Drive Cam Units"/>
    <m/>
    <m/>
    <n v="1"/>
    <m/>
    <n v="0"/>
    <s v="DRIVECAM INC"/>
    <m/>
    <s v="SHOP EQUIPMENT"/>
    <s v="TBA"/>
    <m/>
    <m/>
    <m/>
    <d v="2010-03-31T00:00:00"/>
    <d v="2010-03-31T00:00:00"/>
    <s v="2149-10-0017-1"/>
    <n v="500"/>
    <n v="14070"/>
    <n v="13073.72"/>
    <n v="14076"/>
    <n v="13073.7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2891"/>
    <s v="P"/>
    <s v="Capitalized"/>
    <s v="Cummins Engine Test Software"/>
    <m/>
    <m/>
    <n v="1"/>
    <m/>
    <n v="0"/>
    <s v="WESTERN PETERBILT"/>
    <m/>
    <s v="HARDWARE AND SOFTWARE"/>
    <s v="TBA"/>
    <m/>
    <m/>
    <m/>
    <d v="2010-01-01T00:00:00"/>
    <d v="2010-01-01T00:00:00"/>
    <s v="2149-9-0007-1"/>
    <n v="211"/>
    <n v="14110"/>
    <n v="1565.27"/>
    <n v="14116"/>
    <n v="1565.27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2890"/>
    <s v="P"/>
    <s v="Capitalized"/>
    <s v="Counter Top for Office Improvement"/>
    <m/>
    <m/>
    <n v="1"/>
    <m/>
    <n v="0"/>
    <s v="VIKING FLOORS &amp; INTERIORS"/>
    <m/>
    <s v="OFFICE EQUIPMENT"/>
    <s v="TBA"/>
    <m/>
    <m/>
    <m/>
    <d v="2010-01-01T00:00:00"/>
    <d v="2010-01-01T00:00:00"/>
    <s v="2149-9-0033-1"/>
    <n v="911"/>
    <n v="14100"/>
    <n v="1470.45"/>
    <n v="14106"/>
    <n v="1470.4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2324"/>
    <n v="71160"/>
    <s v="Capitalized"/>
    <s v="New Endless Chain Hoist for Mason County Garbage"/>
    <m/>
    <m/>
    <n v="1"/>
    <s v="1NPTL40X8AD107583"/>
    <n v="2010"/>
    <m/>
    <m/>
    <s v="TRUCKS AND TRAILERS"/>
    <s v="TBA"/>
    <s v="Roll Off"/>
    <m/>
    <m/>
    <d v="2010-01-01T00:00:00"/>
    <d v="2010-01-01T00:00:00"/>
    <s v="2149-9-0041-1"/>
    <n v="1000"/>
    <n v="14040"/>
    <n v="54317.87"/>
    <n v="14046"/>
    <n v="54317.87"/>
    <n v="0"/>
    <n v="0"/>
    <n v="51260"/>
    <n v="0"/>
    <s v="P"/>
    <m/>
    <n v="37"/>
    <s v=" "/>
    <s v="STL"/>
    <s v="YES"/>
    <s v="TBD"/>
    <n v="0"/>
    <x v="20"/>
    <m/>
    <m/>
    <m/>
    <m/>
    <m/>
    <m/>
    <m/>
    <m/>
    <m/>
    <m/>
    <x v="1"/>
  </r>
  <r>
    <n v="2149"/>
    <n v="71679"/>
    <s v="P"/>
    <s v="Capitalized"/>
    <s v="Office Furnature - Probuild"/>
    <m/>
    <m/>
    <n v="1"/>
    <m/>
    <n v="0"/>
    <s v="Probuild West"/>
    <m/>
    <s v="OFFICE EQUIPMENT"/>
    <s v="TBA"/>
    <m/>
    <m/>
    <m/>
    <d v="2009-12-15T00:00:00"/>
    <d v="2009-12-15T00:00:00"/>
    <s v="2149-9-0033-1"/>
    <n v="1000"/>
    <n v="14100"/>
    <n v="5596.62"/>
    <n v="14106"/>
    <n v="5596.62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1313"/>
    <s v="P"/>
    <s v="Capitalized"/>
    <s v="20 Yard Dropbox RL with seal"/>
    <m/>
    <m/>
    <n v="1"/>
    <m/>
    <n v="0"/>
    <s v="ENTERPRISE SALES, INC."/>
    <m/>
    <s v="CONTAINERS"/>
    <s v="TBA"/>
    <m/>
    <s v="20 YD"/>
    <s v="RO Box"/>
    <d v="2009-12-21T00:00:00"/>
    <d v="2009-12-21T00:00:00"/>
    <s v="2149-9-0011-1"/>
    <n v="1200"/>
    <n v="14050"/>
    <n v="5181"/>
    <n v="14056"/>
    <n v="518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1278"/>
    <n v="56939"/>
    <s v="Capitalized"/>
    <s v="Service Truck Welder (Upgrades)"/>
    <m/>
    <m/>
    <n v="1"/>
    <m/>
    <n v="0"/>
    <m/>
    <m/>
    <s v="TRUCKS AND TRAILERS"/>
    <s v="TBA"/>
    <s v="Non-Rolling Stock"/>
    <m/>
    <m/>
    <d v="2009-12-29T00:00:00"/>
    <d v="2009-12-29T00:00:00"/>
    <s v="2149-9-0008-1"/>
    <n v="300"/>
    <n v="14040"/>
    <n v="4484.13"/>
    <n v="14046"/>
    <n v="4484.13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1160"/>
    <s v="P"/>
    <s v="Capitalized"/>
    <s v="New 2010 Peterbilt"/>
    <m/>
    <m/>
    <n v="1"/>
    <s v="1NPTL40X8AD107583"/>
    <n v="2010"/>
    <s v="Peterbilt 367"/>
    <s v="Cascon"/>
    <s v="TRUCKS AND TRAILERS"/>
    <s v="TBA"/>
    <s v="Roll Off"/>
    <m/>
    <m/>
    <d v="2009-12-31T00:00:00"/>
    <d v="2009-12-31T00:00:00"/>
    <s v="2149-9-0041-1"/>
    <n v="1000"/>
    <n v="14040"/>
    <n v="127754.92"/>
    <n v="14046"/>
    <n v="127754.92"/>
    <n v="0"/>
    <n v="0"/>
    <n v="51260"/>
    <n v="0"/>
    <s v="P"/>
    <m/>
    <n v="37"/>
    <s v=" "/>
    <s v="STL"/>
    <s v="YES"/>
    <s v="TBD"/>
    <n v="0"/>
    <x v="20"/>
    <m/>
    <m/>
    <m/>
    <m/>
    <m/>
    <m/>
    <m/>
    <m/>
    <m/>
    <m/>
    <x v="1"/>
  </r>
  <r>
    <n v="2149"/>
    <n v="70548"/>
    <s v="P"/>
    <s v="Capitalized"/>
    <s v="Voice mail system upgrade"/>
    <m/>
    <m/>
    <n v="1"/>
    <m/>
    <n v="0"/>
    <s v="Hood Canal Communications"/>
    <m/>
    <s v="OFFICE EQUIPMENT"/>
    <s v="TBA"/>
    <m/>
    <m/>
    <m/>
    <d v="2009-11-30T00:00:00"/>
    <d v="2009-11-30T00:00:00"/>
    <s v="2149-9-0002-1"/>
    <n v="500"/>
    <n v="14100"/>
    <n v="6948.12"/>
    <n v="14106"/>
    <n v="6948.12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70331"/>
    <s v="P"/>
    <s v="Capitalized"/>
    <s v="New 2009 International (Package Purchase)"/>
    <m/>
    <m/>
    <n v="1"/>
    <s v="1HTWCAAN59J126608"/>
    <n v="2009"/>
    <s v="International"/>
    <s v="HEIL"/>
    <s v="TRUCKS AND TRAILERS"/>
    <s v="TBA"/>
    <s v="Rear Loader"/>
    <m/>
    <m/>
    <d v="2009-09-29T00:00:00"/>
    <d v="2009-09-29T00:00:00"/>
    <s v="2149-9-0040-1"/>
    <n v="1000"/>
    <n v="14040"/>
    <n v="131742"/>
    <n v="14046"/>
    <n v="131742"/>
    <n v="0"/>
    <n v="0"/>
    <n v="51260"/>
    <n v="0"/>
    <s v="P"/>
    <m/>
    <n v="35"/>
    <s v=" "/>
    <s v="STL"/>
    <s v="YES"/>
    <s v="TBD"/>
    <n v="0"/>
    <x v="20"/>
    <m/>
    <m/>
    <m/>
    <m/>
    <m/>
    <m/>
    <m/>
    <m/>
    <m/>
    <m/>
    <x v="1"/>
  </r>
  <r>
    <n v="2149"/>
    <n v="70267"/>
    <s v="P"/>
    <s v="Capitalized"/>
    <s v="2007 New International REL (Package Purchase)"/>
    <m/>
    <m/>
    <n v="1"/>
    <s v="1HTWCAAN77J472690"/>
    <n v="2007"/>
    <s v="International 7400"/>
    <s v="HEIL"/>
    <s v="TRUCKS AND TRAILERS"/>
    <s v="TBA"/>
    <s v="Rear Loader"/>
    <m/>
    <m/>
    <d v="2009-11-30T00:00:00"/>
    <d v="2009-11-30T00:00:00"/>
    <s v="2149-9-0035-1"/>
    <n v="1000"/>
    <n v="14040"/>
    <n v="135051.04999999999"/>
    <n v="14046"/>
    <n v="135051.04999999999"/>
    <n v="0"/>
    <n v="0"/>
    <n v="51260"/>
    <n v="0"/>
    <s v="P"/>
    <m/>
    <n v="36"/>
    <s v=" "/>
    <s v="STL"/>
    <s v="YES"/>
    <s v="TBD"/>
    <n v="0"/>
    <x v="20"/>
    <m/>
    <m/>
    <m/>
    <m/>
    <m/>
    <m/>
    <m/>
    <m/>
    <m/>
    <m/>
    <x v="1"/>
  </r>
  <r>
    <n v="2149"/>
    <n v="69975"/>
    <n v="67080"/>
    <s v="Capitalized"/>
    <s v="Instillation of Auto Grease System Truck #29"/>
    <m/>
    <m/>
    <n v="1"/>
    <s v="3BPZL00X19F719770"/>
    <n v="2009"/>
    <m/>
    <m/>
    <s v="TRUCKS AND TRAILERS"/>
    <s v="TBA"/>
    <s v="Automated Side Loader"/>
    <m/>
    <m/>
    <d v="2009-08-17T00:00:00"/>
    <d v="2009-08-17T00:00:00"/>
    <s v="1010-9-0016-1"/>
    <n v="1000"/>
    <n v="14040"/>
    <n v="3114.01"/>
    <n v="14046"/>
    <n v="3114.0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9974"/>
    <n v="67079"/>
    <s v="Capitalized"/>
    <s v="Instillation of Auto Grease System Truck #27"/>
    <m/>
    <m/>
    <n v="1"/>
    <s v="3BPZL00X99F719712"/>
    <n v="2009"/>
    <m/>
    <m/>
    <s v="TRUCKS AND TRAILERS"/>
    <s v="TBA"/>
    <s v="Automated Side Loader"/>
    <m/>
    <m/>
    <d v="2009-08-17T00:00:00"/>
    <d v="2009-08-17T00:00:00"/>
    <s v="1010-9-0014-1"/>
    <n v="1000"/>
    <n v="14040"/>
    <n v="3114.02"/>
    <n v="14046"/>
    <n v="3114.02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9100"/>
    <n v="70331"/>
    <s v="Capitalized"/>
    <s v="Use Tax for truck # 35"/>
    <m/>
    <m/>
    <n v="1"/>
    <s v="1HTWCAANX9J126605"/>
    <n v="2009"/>
    <m/>
    <m/>
    <s v="TRUCKS AND TRAILERS"/>
    <s v="TBA"/>
    <s v="Rear Loader"/>
    <m/>
    <m/>
    <d v="2009-09-28T00:00:00"/>
    <d v="2009-09-28T00:00:00"/>
    <s v="2149-9-0036-1"/>
    <n v="900"/>
    <n v="14040"/>
    <n v="11461.55"/>
    <n v="14046"/>
    <n v="11461.55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8911"/>
    <n v="68552"/>
    <s v="Capitalized"/>
    <s v="2010 New Summit Aluminum Transfer Trailer"/>
    <m/>
    <m/>
    <n v="1"/>
    <s v="1S8AL4829A0012086"/>
    <n v="2010"/>
    <m/>
    <m/>
    <s v="TRUCKS AND TRAILERS"/>
    <s v="TBA"/>
    <s v="Transfer Trailer"/>
    <m/>
    <m/>
    <d v="2009-09-15T00:00:00"/>
    <d v="2009-09-15T00:00:00"/>
    <s v="2149-9-0031-1"/>
    <n v="700"/>
    <n v="14040"/>
    <n v="67806.070000000007"/>
    <n v="14046"/>
    <n v="67806.070000000007"/>
    <n v="0"/>
    <n v="0"/>
    <n v="51260"/>
    <n v="0"/>
    <s v="P"/>
    <m/>
    <n v="8010"/>
    <s v=" "/>
    <s v="STL"/>
    <s v="YES"/>
    <s v="TBD"/>
    <n v="0"/>
    <x v="20"/>
    <m/>
    <m/>
    <m/>
    <m/>
    <m/>
    <m/>
    <m/>
    <m/>
    <m/>
    <m/>
    <x v="1"/>
  </r>
  <r>
    <n v="2149"/>
    <n v="68726"/>
    <n v="68725"/>
    <s v="Capitalized"/>
    <s v="Resi Recy Program - Start up cost"/>
    <m/>
    <m/>
    <n v="1"/>
    <m/>
    <n v="0"/>
    <s v="various"/>
    <m/>
    <s v="CONTAINERS"/>
    <s v="TBA"/>
    <m/>
    <m/>
    <m/>
    <d v="2009-08-15T00:00:00"/>
    <d v="2009-08-15T00:00:00"/>
    <s v="2149-9-0032-1"/>
    <n v="700"/>
    <n v="14050"/>
    <n v="14621.48"/>
    <n v="14056"/>
    <n v="14621.4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8725"/>
    <s v="P"/>
    <s v="Capitalized"/>
    <s v="Resi Recy Program - Start up cost"/>
    <m/>
    <m/>
    <n v="1"/>
    <m/>
    <n v="0"/>
    <s v="various"/>
    <m/>
    <s v="CONTAINERS"/>
    <s v="TBA"/>
    <m/>
    <m/>
    <m/>
    <d v="2009-08-15T00:00:00"/>
    <d v="2009-08-15T00:00:00"/>
    <s v="2149-9-0032-1"/>
    <n v="700"/>
    <n v="14050"/>
    <n v="13804"/>
    <n v="14056"/>
    <n v="1380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8719"/>
    <n v="67080"/>
    <s v="Capitalized"/>
    <s v="2009 Chasses Truck Decal"/>
    <m/>
    <m/>
    <n v="1"/>
    <n v="719770"/>
    <n v="2009"/>
    <m/>
    <m/>
    <s v="TRUCKS AND TRAILERS"/>
    <s v="TBA"/>
    <s v="Automated Side Loader"/>
    <m/>
    <m/>
    <d v="2009-08-17T00:00:00"/>
    <d v="2009-08-17T00:00:00"/>
    <s v="1010-9-0016-1"/>
    <n v="1000"/>
    <n v="14040"/>
    <n v="1939.28"/>
    <n v="14046"/>
    <n v="1939.28"/>
    <n v="0"/>
    <n v="0"/>
    <n v="51260"/>
    <n v="0"/>
    <s v="P"/>
    <m/>
    <n v="28"/>
    <s v=" "/>
    <s v="STL"/>
    <s v="YES"/>
    <s v="TBD"/>
    <n v="0"/>
    <x v="20"/>
    <m/>
    <m/>
    <m/>
    <m/>
    <m/>
    <m/>
    <m/>
    <m/>
    <m/>
    <m/>
    <x v="1"/>
  </r>
  <r>
    <n v="2149"/>
    <n v="68718"/>
    <n v="67080"/>
    <s v="Capitalized"/>
    <s v="2009 Chassis Warranty"/>
    <m/>
    <m/>
    <n v="1"/>
    <n v="719770"/>
    <n v="2009"/>
    <m/>
    <m/>
    <s v="TRUCKS AND TRAILERS"/>
    <s v="TBA"/>
    <s v="Non-Rolling Stock"/>
    <m/>
    <m/>
    <d v="2009-08-17T00:00:00"/>
    <d v="2009-08-17T00:00:00"/>
    <s v="1010-9-0016-1"/>
    <n v="1000"/>
    <n v="14040"/>
    <n v="1924.11"/>
    <n v="14046"/>
    <n v="1924.11"/>
    <n v="0"/>
    <n v="0"/>
    <n v="51260"/>
    <n v="0"/>
    <s v="P"/>
    <m/>
    <n v="28"/>
    <s v=" "/>
    <s v="STL"/>
    <s v="YES"/>
    <s v="TBD"/>
    <n v="0"/>
    <x v="20"/>
    <m/>
    <m/>
    <m/>
    <m/>
    <m/>
    <m/>
    <m/>
    <m/>
    <m/>
    <m/>
    <x v="1"/>
  </r>
  <r>
    <n v="2149"/>
    <n v="68552"/>
    <s v="P"/>
    <s v="Capitalized"/>
    <s v="2010 New 48' Walking Floor Trailer - Licensing"/>
    <m/>
    <m/>
    <n v="1"/>
    <s v="1S8AL4829A0012086"/>
    <n v="2010"/>
    <s v="Summit Trailer Sales"/>
    <s v="Transfer Trailer"/>
    <s v="TRUCKS AND TRAILERS"/>
    <s v="TBA"/>
    <s v="Transfer Trailer"/>
    <m/>
    <m/>
    <d v="2009-09-15T00:00:00"/>
    <d v="2009-09-15T00:00:00"/>
    <s v="2149-9-0031-1"/>
    <n v="700"/>
    <n v="14040"/>
    <n v="4747.93"/>
    <n v="14046"/>
    <n v="4747.93"/>
    <n v="0"/>
    <n v="0"/>
    <n v="51260"/>
    <n v="0"/>
    <s v="P"/>
    <m/>
    <n v="8010"/>
    <s v=" "/>
    <s v="STL"/>
    <s v="YES"/>
    <s v="TBD"/>
    <n v="0"/>
    <x v="20"/>
    <m/>
    <m/>
    <m/>
    <m/>
    <m/>
    <m/>
    <m/>
    <m/>
    <m/>
    <m/>
    <x v="1"/>
  </r>
  <r>
    <n v="2149"/>
    <n v="68229"/>
    <s v="P"/>
    <s v="Capitalized"/>
    <s v="1 RouteManager License for Mason"/>
    <m/>
    <m/>
    <n v="1"/>
    <m/>
    <n v="0"/>
    <s v="DESERT MICRO"/>
    <m/>
    <s v="HARDWARE AND SOFTWARE"/>
    <s v="TBA"/>
    <m/>
    <m/>
    <m/>
    <d v="2009-09-09T00:00:00"/>
    <d v="2009-09-09T00:00:00"/>
    <s v="2149-9-0034-1"/>
    <n v="300"/>
    <n v="14110"/>
    <n v="875"/>
    <n v="14116"/>
    <n v="87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267"/>
    <n v="67226"/>
    <s v="Capitalized"/>
    <s v="Tip Wall Improvement - Mason Co Recy Proforma"/>
    <m/>
    <m/>
    <n v="1"/>
    <m/>
    <n v="0"/>
    <s v="Gateway Rental Centers"/>
    <m/>
    <s v="LEASEHOLD IMPROVEMENTS"/>
    <s v="LEASEHOLD IMPROVEMENTS"/>
    <m/>
    <m/>
    <m/>
    <d v="2009-08-17T00:00:00"/>
    <d v="2009-08-17T00:00:00"/>
    <s v="2149-9-0027-1"/>
    <n v="1000"/>
    <n v="14090"/>
    <n v="572.36"/>
    <n v="14096"/>
    <n v="572.36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227"/>
    <n v="67226"/>
    <s v="Capitalized"/>
    <s v="Tip Wall Improvement - Mason Co Recy Proforma"/>
    <m/>
    <m/>
    <n v="1"/>
    <m/>
    <n v="0"/>
    <s v="Tozier"/>
    <m/>
    <s v="LEASEHOLD IMPROVEMENTS"/>
    <s v="LEASEHOLD IMPROVEMENTS"/>
    <m/>
    <m/>
    <m/>
    <d v="2009-08-17T00:00:00"/>
    <d v="2009-08-17T00:00:00"/>
    <s v="2149-9-0027-1"/>
    <n v="1000"/>
    <n v="14090"/>
    <n v="588.4"/>
    <n v="14096"/>
    <n v="588.4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226"/>
    <s v="P"/>
    <s v="Capitalized"/>
    <s v="Tip Wall Improvement - Mason Co Recy Proforma"/>
    <m/>
    <m/>
    <n v="1"/>
    <m/>
    <n v="0"/>
    <s v="Miles Sand and Gravel"/>
    <m/>
    <s v="LEASEHOLD IMPROVEMENTS"/>
    <s v="LEASEHOLD IMPROVEMENTS"/>
    <m/>
    <m/>
    <m/>
    <d v="2009-08-17T00:00:00"/>
    <d v="2009-08-17T00:00:00"/>
    <s v="2149-9-0027-1"/>
    <n v="1000"/>
    <n v="14090"/>
    <n v="7691.53"/>
    <n v="14096"/>
    <n v="7691.53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191"/>
    <n v="67079"/>
    <s v="Capitalized"/>
    <s v="Alinement of Truck # 29"/>
    <m/>
    <m/>
    <n v="1"/>
    <n v="719712"/>
    <n v="2009"/>
    <m/>
    <m/>
    <s v="TRUCKS AND TRAILERS"/>
    <s v="TBA"/>
    <s v="Automated Side Loader"/>
    <m/>
    <m/>
    <d v="2009-08-17T00:00:00"/>
    <d v="2009-08-17T00:00:00"/>
    <s v="1010-9-0014-1"/>
    <n v="900"/>
    <n v="14040"/>
    <n v="1338.31"/>
    <n v="14046"/>
    <n v="1338.3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190"/>
    <n v="67080"/>
    <s v="Capitalized"/>
    <s v="Truck # 27 Alingment"/>
    <m/>
    <m/>
    <n v="1"/>
    <n v="719770"/>
    <n v="2009"/>
    <m/>
    <m/>
    <s v="TRUCKS AND TRAILERS"/>
    <s v="TBA"/>
    <s v="Automated Side Loader"/>
    <m/>
    <m/>
    <d v="2009-08-17T00:00:00"/>
    <d v="2009-08-17T00:00:00"/>
    <s v="1010-9-0016-1"/>
    <n v="1000"/>
    <n v="14040"/>
    <n v="1458.41"/>
    <n v="14046"/>
    <n v="1458.41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7080"/>
    <s v="P"/>
    <s v="Capitalized"/>
    <s v="New 2009 Automated Residential"/>
    <m/>
    <m/>
    <n v="1"/>
    <s v="3BPZL00X19F719770"/>
    <n v="2009"/>
    <s v="Peterbilt 320"/>
    <s v="McNeilus"/>
    <s v="TRUCKS AND TRAILERS"/>
    <s v="TBA"/>
    <s v="Automated Side Loader"/>
    <m/>
    <m/>
    <d v="2009-08-17T00:00:00"/>
    <d v="2009-08-17T00:00:00"/>
    <s v="2149-9-0016-1"/>
    <n v="1000"/>
    <n v="14040"/>
    <n v="250755.11"/>
    <n v="14046"/>
    <n v="250755.11"/>
    <n v="0"/>
    <n v="0"/>
    <n v="51260"/>
    <n v="0"/>
    <s v="P"/>
    <m/>
    <n v="28"/>
    <s v=" "/>
    <s v="STL"/>
    <s v="YES"/>
    <s v="TBD"/>
    <n v="0"/>
    <x v="20"/>
    <m/>
    <m/>
    <m/>
    <m/>
    <m/>
    <m/>
    <m/>
    <m/>
    <m/>
    <m/>
    <x v="1"/>
  </r>
  <r>
    <n v="2149"/>
    <n v="67079"/>
    <s v="P"/>
    <s v="Capitalized"/>
    <s v="New 2009 Automated Residential"/>
    <m/>
    <m/>
    <n v="1"/>
    <s v="3BPZL00X99F719712"/>
    <n v="2009"/>
    <s v="Peterbilt 320"/>
    <s v="McNeilus"/>
    <s v="TRUCKS AND TRAILERS"/>
    <s v="TBA"/>
    <s v="Automated Side Loader"/>
    <m/>
    <m/>
    <d v="2009-08-17T00:00:00"/>
    <d v="2009-08-17T00:00:00"/>
    <s v="2149-9-0014-1"/>
    <n v="1000"/>
    <n v="14040"/>
    <n v="249776.96"/>
    <n v="14046"/>
    <n v="249776.96"/>
    <n v="0"/>
    <n v="0"/>
    <n v="51260"/>
    <n v="0"/>
    <s v="P"/>
    <m/>
    <n v="29"/>
    <s v=" "/>
    <s v="STL"/>
    <s v="YES"/>
    <s v="TBD"/>
    <n v="0"/>
    <x v="20"/>
    <m/>
    <m/>
    <m/>
    <m/>
    <m/>
    <m/>
    <m/>
    <m/>
    <m/>
    <m/>
    <x v="1"/>
  </r>
  <r>
    <n v="2149"/>
    <n v="66277"/>
    <s v="P"/>
    <s v="Capitalized"/>
    <s v="Cart Decals - 96 Gallon Carts"/>
    <m/>
    <m/>
    <n v="1"/>
    <m/>
    <n v="0"/>
    <s v="TOTER INCORPORATED"/>
    <m/>
    <s v="CONTAINERS"/>
    <s v="TBA"/>
    <m/>
    <m/>
    <m/>
    <d v="2009-08-01T00:00:00"/>
    <d v="2009-08-01T00:00:00"/>
    <s v="2149-9-0025-1"/>
    <n v="700"/>
    <n v="14050"/>
    <n v="318.7"/>
    <n v="14056"/>
    <n v="318.7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6"/>
    <s v="P"/>
    <s v="Capitalized"/>
    <s v="96 Gallon Comingle Carts"/>
    <m/>
    <m/>
    <n v="392"/>
    <m/>
    <n v="0"/>
    <s v="TOTER INCORPORATED"/>
    <m/>
    <s v="CONTAINERS"/>
    <s v="TBA"/>
    <m/>
    <m/>
    <m/>
    <d v="2009-08-01T00:00:00"/>
    <d v="2009-08-01T00:00:00"/>
    <s v="2149-9-0025-1"/>
    <n v="700"/>
    <n v="14050"/>
    <n v="18249.36"/>
    <n v="14056"/>
    <n v="18249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5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4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3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2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1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70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9"/>
    <s v="P"/>
    <s v="Capitalized"/>
    <s v="96 Gal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8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7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6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5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4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3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2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1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60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259"/>
    <s v="P"/>
    <s v="Capitalized"/>
    <s v="96 Gallon Comingle Carts"/>
    <m/>
    <m/>
    <n v="624"/>
    <m/>
    <n v="0"/>
    <s v="TOTER INCORPORATED"/>
    <m/>
    <s v="CONTAINERS"/>
    <s v="TBA"/>
    <m/>
    <m/>
    <m/>
    <d v="2009-08-01T00:00:00"/>
    <d v="2009-08-01T00:00:00"/>
    <s v="2149-9-0025-1"/>
    <n v="700"/>
    <n v="14050"/>
    <n v="28338.36"/>
    <n v="14056"/>
    <n v="28338.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6178"/>
    <s v="P"/>
    <s v="Capitalized"/>
    <s v="New 14 - 2009 C&amp;B Dump w/ Ramps"/>
    <m/>
    <m/>
    <n v="1"/>
    <s v="4JUBD14269N032541"/>
    <n v="2009"/>
    <s v="J&amp;J Trailer / C&amp;B"/>
    <s v="Trailer"/>
    <s v="TRUCKS AND TRAILERS"/>
    <s v="TBA"/>
    <s v="Other Trailer"/>
    <m/>
    <m/>
    <d v="2009-07-07T00:00:00"/>
    <d v="2009-07-07T00:00:00"/>
    <s v="2149-9-0030-1"/>
    <n v="600"/>
    <n v="14040"/>
    <n v="6959.28"/>
    <n v="14046"/>
    <n v="6959.28"/>
    <n v="0"/>
    <n v="0"/>
    <n v="51260"/>
    <n v="0"/>
    <s v="P"/>
    <m/>
    <n v="8008"/>
    <s v=" "/>
    <s v="STL"/>
    <s v="YES"/>
    <s v="TBD"/>
    <n v="0"/>
    <x v="20"/>
    <m/>
    <m/>
    <m/>
    <m/>
    <m/>
    <m/>
    <m/>
    <m/>
    <m/>
    <m/>
    <x v="1"/>
  </r>
  <r>
    <n v="2149"/>
    <n v="66176"/>
    <s v="P"/>
    <s v="Capitalized"/>
    <s v="2004 Dodge 2500"/>
    <m/>
    <m/>
    <n v="1"/>
    <s v="3D7KU28C84G237527"/>
    <n v="2004"/>
    <s v="Dodge RAM 2500"/>
    <s v="Dodge"/>
    <s v="TRUCKS AND TRAILERS"/>
    <s v="TBA"/>
    <s v="Pickup Truck"/>
    <m/>
    <m/>
    <d v="2009-07-01T00:00:00"/>
    <d v="2009-07-01T00:00:00"/>
    <s v="2149-9-0029-1"/>
    <n v="300"/>
    <n v="14040"/>
    <n v="21422.720000000001"/>
    <n v="14046"/>
    <n v="21422.720000000001"/>
    <n v="0"/>
    <n v="0"/>
    <n v="51260"/>
    <n v="0"/>
    <s v="P"/>
    <m/>
    <s v="O1"/>
    <s v=" "/>
    <s v="STL"/>
    <s v="YES"/>
    <s v="TBD"/>
    <n v="0"/>
    <x v="20"/>
    <m/>
    <m/>
    <m/>
    <m/>
    <m/>
    <m/>
    <m/>
    <m/>
    <m/>
    <m/>
    <x v="1"/>
  </r>
  <r>
    <n v="2149"/>
    <n v="65867"/>
    <n v="56939"/>
    <s v="Capitalized"/>
    <s v="Upgrades for 2008 F350 Service Truck"/>
    <m/>
    <m/>
    <n v="1"/>
    <m/>
    <n v="2008"/>
    <m/>
    <m/>
    <s v="TRUCKS AND TRAILERS"/>
    <s v="TBA"/>
    <s v="Non-Rolling Stock "/>
    <m/>
    <m/>
    <d v="2009-01-01T00:00:00"/>
    <d v="2009-01-01T00:00:00"/>
    <s v="2149-9-0008-1"/>
    <n v="300"/>
    <n v="14040"/>
    <n v="2509"/>
    <n v="14046"/>
    <n v="250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4724"/>
    <s v="P"/>
    <s v="Capitalized"/>
    <s v="20 Yard Compactors"/>
    <m/>
    <m/>
    <n v="4"/>
    <m/>
    <n v="0"/>
    <m/>
    <m/>
    <s v="CONTAINERS"/>
    <s v="TBA"/>
    <m/>
    <s v="20 YD"/>
    <s v="Compactor"/>
    <d v="2008-11-03T00:00:00"/>
    <d v="2008-11-03T00:00:00"/>
    <m/>
    <n v="700"/>
    <n v="14050"/>
    <n v="5200"/>
    <n v="14056"/>
    <n v="5200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64709"/>
    <s v="P"/>
    <s v="Capitalized"/>
    <s v="40 Yard Compactor"/>
    <m/>
    <m/>
    <n v="4"/>
    <m/>
    <n v="0"/>
    <m/>
    <m/>
    <s v="CONTAINERS"/>
    <s v="TBA"/>
    <m/>
    <s v="40 YD"/>
    <s v="Compactor"/>
    <d v="2008-11-03T00:00:00"/>
    <d v="2008-11-03T00:00:00"/>
    <m/>
    <n v="700"/>
    <n v="14050"/>
    <n v="8600"/>
    <n v="14056"/>
    <n v="8600"/>
    <n v="0"/>
    <n v="0"/>
    <n v="54260"/>
    <n v="0"/>
    <s v="A"/>
    <s v="LeMay Enterprises"/>
    <s v="NA"/>
    <s v=" "/>
    <s v="STL"/>
    <s v="YES"/>
    <s v="TBD"/>
    <n v="0"/>
    <x v="20"/>
    <m/>
    <m/>
    <m/>
    <m/>
    <m/>
    <m/>
    <m/>
    <m/>
    <m/>
    <m/>
    <x v="1"/>
  </r>
  <r>
    <n v="2149"/>
    <n v="63316"/>
    <s v="P"/>
    <s v="Capitalized"/>
    <s v="Office Printer"/>
    <m/>
    <m/>
    <n v="1"/>
    <m/>
    <n v="0"/>
    <s v="Empire Office Equipment"/>
    <m/>
    <s v="HARDWARE AND SOFTWARE"/>
    <s v="TBA"/>
    <m/>
    <m/>
    <m/>
    <d v="2009-01-29T00:00:00"/>
    <d v="2009-01-29T00:00:00"/>
    <s v="2149-9-0001-1"/>
    <n v="300"/>
    <n v="14110"/>
    <n v="9626.66"/>
    <n v="14116"/>
    <n v="9626.66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62303"/>
    <s v="P"/>
    <s v="Capitalized"/>
    <s v="Concrete &amp; Top Pads - Correct Asset Assignment"/>
    <m/>
    <m/>
    <n v="1"/>
    <m/>
    <n v="0"/>
    <m/>
    <m/>
    <s v="LEASEHOLD IMPROVEMENTS"/>
    <s v="LEASEHOLD IMPROVEMENTS"/>
    <m/>
    <m/>
    <m/>
    <d v="2008-12-29T00:00:00"/>
    <d v="2008-12-29T00:00:00"/>
    <s v="2149-8-0027-1"/>
    <n v="1000"/>
    <n v="14090"/>
    <n v="14371.67"/>
    <n v="14096"/>
    <n v="14371.67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9132"/>
    <s v="P"/>
    <s v="Capitalized"/>
    <s v="2 YD Rear Load Containers"/>
    <m/>
    <m/>
    <n v="21"/>
    <m/>
    <n v="0"/>
    <s v="ENTERPRISE SALES, INC."/>
    <m/>
    <s v="CONTAINERS"/>
    <s v="TBA"/>
    <m/>
    <s v="2 YD"/>
    <s v="FEL/REL/SL Metal"/>
    <d v="2008-09-01T00:00:00"/>
    <d v="2008-09-01T00:00:00"/>
    <s v="2149-8-0011-1"/>
    <n v="1200"/>
    <n v="14050"/>
    <n v="11820"/>
    <n v="14056"/>
    <n v="1182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9131"/>
    <s v="P"/>
    <s v="Capitalized"/>
    <s v="1.5YD Containers"/>
    <m/>
    <m/>
    <n v="11"/>
    <m/>
    <n v="0"/>
    <s v="ENTERPRISE SALES, INC."/>
    <m/>
    <s v="CONTAINERS"/>
    <s v="TBA"/>
    <m/>
    <s v="1.5 YD"/>
    <s v="FEL/REL/SL Plastic"/>
    <d v="2008-09-01T00:00:00"/>
    <d v="2008-09-01T00:00:00"/>
    <s v="2149-8-0010-1"/>
    <n v="1200"/>
    <n v="14050"/>
    <n v="6128"/>
    <n v="14056"/>
    <n v="612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9082"/>
    <s v="P"/>
    <s v="Capitalized"/>
    <s v="95 Gallon Commercial Recycle Containers"/>
    <m/>
    <m/>
    <n v="100"/>
    <m/>
    <n v="0"/>
    <s v="SCHAEFER SYSTEMS INTERNAT"/>
    <m/>
    <s v="CONTAINERS"/>
    <s v="TBA"/>
    <m/>
    <m/>
    <m/>
    <d v="2008-08-22T00:00:00"/>
    <d v="2008-08-22T00:00:00"/>
    <s v="2149-8-0025-1"/>
    <n v="700"/>
    <n v="14050"/>
    <n v="5989.9"/>
    <n v="14056"/>
    <n v="5989.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9081"/>
    <s v="P"/>
    <s v="Capitalized"/>
    <s v="35 Gallon Bar Carts"/>
    <m/>
    <m/>
    <n v="100"/>
    <m/>
    <n v="0"/>
    <s v="SCHAEFER SYSTEMS INTERNAT"/>
    <m/>
    <s v="CONTAINERS"/>
    <s v="TBA"/>
    <m/>
    <m/>
    <m/>
    <d v="2008-08-22T00:00:00"/>
    <d v="2008-08-22T00:00:00"/>
    <s v="2149-8-0013-1"/>
    <n v="700"/>
    <n v="14050"/>
    <n v="4363.8999999999996"/>
    <n v="14056"/>
    <n v="4363.899999999999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9080"/>
    <s v="P"/>
    <s v="Capitalized"/>
    <s v="64 gallon Carts - 100 Solid Waste &amp; 100 Curbside"/>
    <m/>
    <m/>
    <n v="200"/>
    <m/>
    <n v="0"/>
    <s v="TOTER INCORPORATED"/>
    <m/>
    <s v="CONTAINERS"/>
    <s v="TBA"/>
    <m/>
    <m/>
    <m/>
    <d v="2008-08-22T00:00:00"/>
    <d v="2008-08-22T00:00:00"/>
    <s v="2149-8-0013-1"/>
    <n v="700"/>
    <n v="14050"/>
    <n v="9680.1200000000008"/>
    <n v="14056"/>
    <n v="9680.120000000000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8961"/>
    <n v="56939"/>
    <s v="Capitalized"/>
    <s v="Cab Guard and Light Mounts for #S1"/>
    <m/>
    <m/>
    <n v="1"/>
    <s v="W1LL BE DETERM1NED"/>
    <n v="2007"/>
    <m/>
    <m/>
    <s v="TRUCKS AND TRAILERS"/>
    <s v="TBA"/>
    <s v="Flatbed Truck"/>
    <m/>
    <m/>
    <d v="2008-05-30T00:00:00"/>
    <d v="2008-05-30T00:00:00"/>
    <s v="2149-8-0019-1"/>
    <n v="1000"/>
    <n v="14040"/>
    <n v="1040.6400000000001"/>
    <n v="14046"/>
    <n v="1040.6400000000001"/>
    <n v="0"/>
    <n v="0"/>
    <n v="51260"/>
    <n v="0"/>
    <s v="P"/>
    <m/>
    <s v="S1"/>
    <s v=" "/>
    <s v="STL"/>
    <s v="YES"/>
    <s v="TBD"/>
    <n v="0"/>
    <x v="20"/>
    <m/>
    <m/>
    <m/>
    <m/>
    <m/>
    <m/>
    <m/>
    <m/>
    <m/>
    <m/>
    <x v="1"/>
  </r>
  <r>
    <n v="2149"/>
    <n v="58326"/>
    <n v="56939"/>
    <s v="Capitalized"/>
    <s v="Service Truck #S1 Body Vin#D24893"/>
    <m/>
    <m/>
    <n v="1"/>
    <s v="W1LL BE DETERM1NED"/>
    <n v="2008"/>
    <m/>
    <m/>
    <s v="TRUCKS AND TRAILERS"/>
    <s v="TBA"/>
    <s v="Flatbed Truck"/>
    <m/>
    <m/>
    <d v="2008-07-15T00:00:00"/>
    <d v="2008-07-15T00:00:00"/>
    <s v="2149-8-0019-1"/>
    <n v="910"/>
    <n v="14040"/>
    <n v="10731.6"/>
    <n v="14046"/>
    <n v="10731.6"/>
    <n v="0"/>
    <n v="0"/>
    <n v="51260"/>
    <n v="0"/>
    <s v="P"/>
    <m/>
    <s v="S1"/>
    <s v=" "/>
    <s v="STL"/>
    <s v="YES"/>
    <s v="TBD"/>
    <n v="0"/>
    <x v="20"/>
    <m/>
    <m/>
    <m/>
    <m/>
    <m/>
    <m/>
    <m/>
    <m/>
    <m/>
    <m/>
    <x v="1"/>
  </r>
  <r>
    <n v="2149"/>
    <n v="58311"/>
    <n v="57799"/>
    <s v="Capitalized"/>
    <s v="Freight Only for Carts"/>
    <m/>
    <m/>
    <n v="1"/>
    <m/>
    <n v="0"/>
    <m/>
    <m/>
    <s v="CONTAINERS"/>
    <s v="TBA"/>
    <m/>
    <m/>
    <m/>
    <d v="2008-07-23T00:00:00"/>
    <d v="2008-07-23T00:00:00"/>
    <s v="2149-8-0013-1"/>
    <n v="611"/>
    <n v="14050"/>
    <n v="1112"/>
    <n v="14056"/>
    <n v="111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7799"/>
    <s v="P"/>
    <s v="Capitalized"/>
    <s v="(100) 96gal Automated Totes"/>
    <m/>
    <m/>
    <n v="100"/>
    <m/>
    <n v="0"/>
    <s v="TOTER INCORPORATED"/>
    <m/>
    <s v="CONTAINERS"/>
    <s v="TBA"/>
    <m/>
    <m/>
    <m/>
    <d v="2008-07-01T00:00:00"/>
    <d v="2008-07-01T00:00:00"/>
    <s v="2149-8-0013-1"/>
    <n v="700"/>
    <n v="14050"/>
    <n v="6206.85"/>
    <n v="14056"/>
    <n v="6206.8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7798"/>
    <s v="P"/>
    <s v="Capitalized"/>
    <s v="48 gal AutomatedTotes"/>
    <m/>
    <m/>
    <n v="100"/>
    <m/>
    <n v="0"/>
    <s v="TOTER INCORPORATED"/>
    <m/>
    <s v="CONTAINERS"/>
    <s v="TBA"/>
    <m/>
    <m/>
    <m/>
    <d v="2008-07-01T00:00:00"/>
    <d v="2008-07-01T00:00:00"/>
    <s v="2149-8-0013-1"/>
    <n v="700"/>
    <n v="14050"/>
    <n v="5504.87"/>
    <n v="14056"/>
    <n v="5504.87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7646"/>
    <s v="P"/>
    <s v="Capitalized"/>
    <s v="20 YD Recycle Box"/>
    <m/>
    <m/>
    <n v="1"/>
    <m/>
    <n v="0"/>
    <s v="ENTERPRISE SALES, INC."/>
    <m/>
    <s v="CONTAINERS"/>
    <s v="TBA"/>
    <m/>
    <s v="20 YD"/>
    <s v="RO Box"/>
    <d v="2008-06-02T00:00:00"/>
    <d v="2008-06-02T00:00:00"/>
    <s v="2149-8-0009-1"/>
    <n v="1200"/>
    <n v="14050"/>
    <n v="4899"/>
    <n v="14056"/>
    <n v="489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6997"/>
    <s v="P"/>
    <s v="Capitalized"/>
    <s v="New Shop Overhead 12'2 X 12'6 Door"/>
    <m/>
    <m/>
    <n v="1"/>
    <m/>
    <n v="0"/>
    <s v="OLYMPIA OVERHEAD DOOR"/>
    <m/>
    <s v="BUILDINGS"/>
    <s v="TBA"/>
    <m/>
    <m/>
    <m/>
    <d v="2008-05-20T00:00:00"/>
    <d v="2008-05-20T00:00:00"/>
    <s v="2149-8-0024-1"/>
    <n v="305"/>
    <n v="14080"/>
    <n v="2786.96"/>
    <n v="14086"/>
    <n v="2786.96"/>
    <n v="0"/>
    <n v="0"/>
    <n v="57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6939"/>
    <s v="P"/>
    <s v="Capitalized"/>
    <s v="2008 Ford F-350 Service Truck"/>
    <m/>
    <m/>
    <n v="1"/>
    <s v="1FDWF37R58ED24893"/>
    <n v="2007"/>
    <s v="FORD F-350"/>
    <s v="Service Body"/>
    <s v="TRUCKS AND TRAILERS"/>
    <s v="TBA"/>
    <s v="Flatbed Truck"/>
    <m/>
    <m/>
    <d v="2008-05-30T00:00:00"/>
    <d v="2008-05-30T00:00:00"/>
    <s v="2149-8-0019-1"/>
    <n v="1000"/>
    <n v="14040"/>
    <n v="35260.269999999997"/>
    <n v="14046"/>
    <n v="35260.269999999997"/>
    <n v="0"/>
    <n v="0"/>
    <n v="51260"/>
    <n v="0"/>
    <s v="P"/>
    <m/>
    <s v="S1"/>
    <s v=" "/>
    <s v="STL"/>
    <s v="YES"/>
    <s v="TBD"/>
    <n v="0"/>
    <x v="20"/>
    <m/>
    <m/>
    <m/>
    <m/>
    <m/>
    <m/>
    <m/>
    <m/>
    <m/>
    <m/>
    <x v="1"/>
  </r>
  <r>
    <n v="2149"/>
    <n v="56508"/>
    <s v="P"/>
    <s v="Capitalized"/>
    <s v="Miller Mattic MIL 907324"/>
    <m/>
    <m/>
    <n v="1"/>
    <m/>
    <n v="0"/>
    <m/>
    <m/>
    <s v="SHOP EQUIPMENT"/>
    <s v="TBA"/>
    <m/>
    <m/>
    <m/>
    <d v="2008-01-01T00:00:00"/>
    <d v="2008-01-01T00:00:00"/>
    <s v="07-2149-004"/>
    <n v="500"/>
    <n v="14070"/>
    <n v="1460.78"/>
    <n v="14076"/>
    <n v="1460.78"/>
    <n v="0"/>
    <n v="0"/>
    <n v="51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56431"/>
    <n v="54788"/>
    <s v="Capitalized"/>
    <s v="2007 Peterbuilt Garbage Truck Vin#718113"/>
    <m/>
    <m/>
    <n v="1"/>
    <s v="SF07108INS"/>
    <n v="2007"/>
    <m/>
    <m/>
    <s v="TRUCKS AND TRAILERS"/>
    <s v="TBA"/>
    <s v="Automated Side Loader"/>
    <m/>
    <m/>
    <d v="2008-03-15T00:00:00"/>
    <d v="2008-03-15T00:00:00"/>
    <s v="07-2149-412"/>
    <n v="906"/>
    <n v="14040"/>
    <n v="141041.04999999999"/>
    <n v="14046"/>
    <n v="141041.04999999999"/>
    <n v="0"/>
    <n v="0"/>
    <n v="51260"/>
    <n v="0"/>
    <s v="P"/>
    <n v="0"/>
    <n v="10"/>
    <s v=" "/>
    <s v="STL"/>
    <s v="YES"/>
    <s v="TBD"/>
    <n v="0"/>
    <x v="20"/>
    <m/>
    <m/>
    <m/>
    <m/>
    <m/>
    <m/>
    <m/>
    <m/>
    <m/>
    <m/>
    <x v="1"/>
  </r>
  <r>
    <n v="2149"/>
    <n v="56219"/>
    <s v="P"/>
    <s v="Capitalized"/>
    <s v="20 Yard Containers"/>
    <m/>
    <m/>
    <n v="3"/>
    <m/>
    <n v="0"/>
    <s v="ENTERPRISE SALES, INC."/>
    <m/>
    <s v="CONTAINERS"/>
    <s v="TBA"/>
    <m/>
    <s v="20 YD"/>
    <s v="RO Box"/>
    <d v="2008-03-31T00:00:00"/>
    <d v="2008-03-31T00:00:00"/>
    <s v="2149-8-0007-1"/>
    <n v="1200"/>
    <n v="14050"/>
    <n v="13735"/>
    <n v="14056"/>
    <n v="1373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5949"/>
    <s v="P"/>
    <s v="Capitalized"/>
    <s v="96 GAL Toters"/>
    <m/>
    <m/>
    <n v="100"/>
    <m/>
    <n v="0"/>
    <s v="TOTER INCORPORATED"/>
    <m/>
    <s v="CONTAINERS"/>
    <s v="TBA"/>
    <m/>
    <m/>
    <m/>
    <d v="2008-01-01T00:00:00"/>
    <d v="2008-01-01T00:00:00"/>
    <s v="2149-8-0022-1"/>
    <n v="700"/>
    <n v="14050"/>
    <n v="5360.85"/>
    <n v="14056"/>
    <n v="5360.8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5384"/>
    <s v="P"/>
    <s v="Capitalized"/>
    <s v="2YD REL Containers-Enterprise Sales"/>
    <m/>
    <m/>
    <n v="21"/>
    <n v="0"/>
    <n v="0"/>
    <m/>
    <m/>
    <s v="CONTAINERS"/>
    <s v="TBA"/>
    <m/>
    <s v="2 YD"/>
    <s v="FEL/REL/SL Metal"/>
    <d v="2008-01-01T00:00:00"/>
    <d v="2008-01-01T00:00:00"/>
    <s v="07-2149-015"/>
    <n v="1110"/>
    <n v="14050"/>
    <n v="8736"/>
    <n v="14056"/>
    <n v="873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5353"/>
    <s v="P"/>
    <s v="Capitalized"/>
    <s v="Engine Anaysis Software"/>
    <m/>
    <m/>
    <n v="1"/>
    <n v="0"/>
    <n v="0"/>
    <s v="WESTERN PETERBILT, INC"/>
    <m/>
    <s v="HARDWARE AND SOFTWARE"/>
    <s v="TBA"/>
    <m/>
    <m/>
    <m/>
    <d v="2008-01-08T00:00:00"/>
    <d v="2008-01-08T00:00:00"/>
    <s v="07-2149-414"/>
    <n v="300"/>
    <n v="14110"/>
    <n v="2776.1"/>
    <n v="14116"/>
    <n v="2776.1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4909"/>
    <n v="54787"/>
    <s v="Capitalized"/>
    <s v="LABRIE BODY SERIAL NUMBER SF7108ISA"/>
    <m/>
    <m/>
    <n v="1"/>
    <s v="SF071081SA"/>
    <n v="2007"/>
    <m/>
    <m/>
    <s v="TRUCKS AND TRAILERS"/>
    <s v="TBA"/>
    <s v="Automated Side Loader"/>
    <m/>
    <m/>
    <d v="2007-12-14T00:00:00"/>
    <d v="2007-12-14T00:00:00"/>
    <s v="07-2149-012"/>
    <n v="1000"/>
    <n v="14040"/>
    <n v="153350.81"/>
    <n v="14046"/>
    <n v="153350.81"/>
    <n v="0"/>
    <n v="0"/>
    <n v="51260"/>
    <n v="0"/>
    <s v="P"/>
    <m/>
    <n v="11"/>
    <s v=" "/>
    <s v="STL"/>
    <s v="YES"/>
    <s v="TBD"/>
    <n v="0"/>
    <x v="20"/>
    <m/>
    <m/>
    <m/>
    <m/>
    <m/>
    <m/>
    <m/>
    <m/>
    <m/>
    <m/>
    <x v="1"/>
  </r>
  <r>
    <n v="2149"/>
    <n v="54788"/>
    <s v="P"/>
    <s v="Capitalized"/>
    <s v="2008 ASL Truck VIN# 718113"/>
    <m/>
    <m/>
    <n v="1"/>
    <s v="3BPZL00X68F718113"/>
    <n v="2008"/>
    <s v="Peterbilt 320"/>
    <s v="Labrie"/>
    <s v="TRUCKS AND TRAILERS"/>
    <s v="TBA"/>
    <s v="Automated Side Loader"/>
    <m/>
    <m/>
    <d v="2007-07-26T00:00:00"/>
    <d v="2007-07-26T00:00:00"/>
    <s v="07-2149-012"/>
    <n v="1000"/>
    <n v="14040"/>
    <n v="128239.25"/>
    <n v="14046"/>
    <n v="128239.25"/>
    <n v="0"/>
    <n v="0"/>
    <n v="51260"/>
    <n v="0"/>
    <s v="P"/>
    <n v="0"/>
    <n v="10"/>
    <s v=" "/>
    <s v="STL"/>
    <s v="YES"/>
    <s v="TBD"/>
    <n v="0"/>
    <x v="20"/>
    <m/>
    <m/>
    <m/>
    <m/>
    <m/>
    <m/>
    <m/>
    <m/>
    <m/>
    <m/>
    <x v="1"/>
  </r>
  <r>
    <n v="2149"/>
    <n v="54787"/>
    <s v="P"/>
    <s v="Capitalized"/>
    <s v="2008 ASL Truck VIN# 718114"/>
    <m/>
    <m/>
    <n v="1"/>
    <s v="3BPZL00X88F718114"/>
    <n v="2008"/>
    <s v="Peterbilt 320"/>
    <s v="Labrie"/>
    <s v="TRUCKS AND TRAILERS"/>
    <s v="TBA"/>
    <s v="Automated Side Loader"/>
    <m/>
    <m/>
    <d v="2007-07-26T00:00:00"/>
    <d v="2007-07-26T00:00:00"/>
    <s v="07-2149-412"/>
    <n v="1000"/>
    <n v="14040"/>
    <n v="128239.25"/>
    <n v="14046"/>
    <n v="128239.25"/>
    <n v="0"/>
    <n v="0"/>
    <n v="51260"/>
    <n v="0"/>
    <s v="P"/>
    <n v="0"/>
    <n v="11"/>
    <s v=" "/>
    <s v="STL"/>
    <s v="YES"/>
    <s v="TBD"/>
    <n v="0"/>
    <x v="20"/>
    <m/>
    <m/>
    <m/>
    <m/>
    <m/>
    <m/>
    <m/>
    <m/>
    <m/>
    <m/>
    <x v="1"/>
  </r>
  <r>
    <n v="2149"/>
    <n v="54698"/>
    <s v="P"/>
    <s v="Capitalized"/>
    <s v="64 GA Carts"/>
    <m/>
    <m/>
    <n v="828"/>
    <n v="0"/>
    <n v="0"/>
    <s v="TOTER INCORPORATED"/>
    <m/>
    <s v="CONTAINERS"/>
    <s v="TBA"/>
    <m/>
    <m/>
    <m/>
    <d v="2007-09-26T00:00:00"/>
    <d v="2007-09-26T00:00:00"/>
    <s v="07-2149-011"/>
    <n v="700"/>
    <n v="14050"/>
    <n v="40493.370000000003"/>
    <n v="14056"/>
    <n v="40493.370000000003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3297"/>
    <n v="53296"/>
    <s v="Capitalized"/>
    <s v="Sales Tax on new Rear Load Truck - VIN#461427"/>
    <m/>
    <m/>
    <n v="1"/>
    <n v="461427"/>
    <n v="2007"/>
    <m/>
    <m/>
    <s v="TRUCKS AND TRAILERS"/>
    <s v="TBA"/>
    <s v="Non-Rolling Stock"/>
    <m/>
    <m/>
    <d v="2007-08-23T00:00:00"/>
    <d v="2007-08-23T00:00:00"/>
    <s v="07-2120-003"/>
    <n v="1000"/>
    <n v="14040"/>
    <n v="10482.879999999999"/>
    <n v="14046"/>
    <n v="10482.879999999999"/>
    <n v="0"/>
    <n v="0"/>
    <n v="51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53296"/>
    <s v="P"/>
    <s v="Capitalized"/>
    <s v="2007 REL Truck - VIN#461427"/>
    <m/>
    <m/>
    <n v="1"/>
    <s v="1HTWGAZZR97J461427"/>
    <n v="2007"/>
    <s v="International 7400"/>
    <s v="HEIL"/>
    <s v="TRUCKS AND TRAILERS"/>
    <s v="TBA"/>
    <s v="Rear Loader"/>
    <m/>
    <m/>
    <d v="2007-08-15T00:00:00"/>
    <d v="2007-08-15T00:00:00"/>
    <s v="07-2120-003"/>
    <n v="1000"/>
    <n v="14040"/>
    <n v="143978.10999999999"/>
    <n v="14046"/>
    <n v="143978.10999999999"/>
    <n v="0"/>
    <n v="0"/>
    <n v="51260"/>
    <n v="0"/>
    <s v="P"/>
    <n v="0"/>
    <n v="23"/>
    <s v=" "/>
    <s v="STL"/>
    <s v="YES"/>
    <s v="TBD"/>
    <n v="0"/>
    <x v="20"/>
    <m/>
    <m/>
    <m/>
    <m/>
    <m/>
    <m/>
    <m/>
    <m/>
    <m/>
    <m/>
    <x v="1"/>
  </r>
  <r>
    <n v="2149"/>
    <n v="52430"/>
    <s v="P"/>
    <s v="Capitalized"/>
    <s v="35 Gallon Gray carts"/>
    <m/>
    <m/>
    <n v="992"/>
    <n v="0"/>
    <n v="0"/>
    <s v="WESTERN SYSTEMS &amp; FABRICA"/>
    <m/>
    <s v="CONTAINERS"/>
    <s v="TBA"/>
    <m/>
    <m/>
    <m/>
    <d v="2007-09-14T00:00:00"/>
    <d v="2007-09-14T00:00:00"/>
    <s v="07-2149-011"/>
    <n v="700"/>
    <n v="14050"/>
    <n v="35012.639999999999"/>
    <n v="14056"/>
    <n v="35012.63999999999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2429"/>
    <s v="P"/>
    <s v="Capitalized"/>
    <s v="35 Gallon Gray carts"/>
    <m/>
    <m/>
    <n v="1008"/>
    <n v="0"/>
    <n v="0"/>
    <s v="WESTERN SYSTEMS &amp; FABRICA"/>
    <m/>
    <s v="CONTAINERS"/>
    <s v="TBA"/>
    <m/>
    <m/>
    <m/>
    <d v="2007-09-05T00:00:00"/>
    <d v="2007-09-05T00:00:00"/>
    <s v="07-2149-011"/>
    <n v="700"/>
    <n v="14050"/>
    <n v="39410.94"/>
    <n v="14056"/>
    <n v="39410.9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2428"/>
    <s v="P"/>
    <s v="Capitalized"/>
    <s v="48 Gallon Gray Carts"/>
    <m/>
    <m/>
    <n v="360"/>
    <n v="0"/>
    <n v="0"/>
    <s v="TOTER INCORPORATED"/>
    <m/>
    <s v="CONTAINERS"/>
    <s v="TBA"/>
    <m/>
    <m/>
    <m/>
    <d v="2007-09-18T00:00:00"/>
    <d v="2007-09-18T00:00:00"/>
    <s v="07-2149-011"/>
    <n v="700"/>
    <n v="14050"/>
    <n v="18692.580000000002"/>
    <n v="14056"/>
    <n v="18692.58000000000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52210"/>
    <s v="P"/>
    <s v="Capitalized"/>
    <s v="Router for Mason County"/>
    <m/>
    <m/>
    <n v="1"/>
    <s v="UNK2088"/>
    <n v="0"/>
    <s v="Quest"/>
    <m/>
    <s v="HARDWARE AND SOFTWARE"/>
    <s v="TBA"/>
    <m/>
    <m/>
    <m/>
    <d v="2001-10-10T00:00:00"/>
    <d v="2001-10-10T00:00:00"/>
    <s v="01-1010-010"/>
    <n v="500"/>
    <n v="14110"/>
    <n v="2389.91"/>
    <n v="14116"/>
    <n v="2389.91"/>
    <n v="0"/>
    <n v="0"/>
    <n v="70260"/>
    <n v="0"/>
    <s v="P"/>
    <m/>
    <m/>
    <s v=" "/>
    <s v="STL"/>
    <s v="YES"/>
    <e v="#N/A"/>
    <e v="#N/A"/>
    <x v="21"/>
    <m/>
    <m/>
    <m/>
    <m/>
    <m/>
    <m/>
    <m/>
    <m/>
    <m/>
    <m/>
    <x v="1"/>
  </r>
  <r>
    <n v="2149"/>
    <n v="51498"/>
    <s v="P"/>
    <s v="Capitalized"/>
    <s v="Laptop"/>
    <m/>
    <m/>
    <n v="1"/>
    <n v="0"/>
    <n v="0"/>
    <m/>
    <m/>
    <s v="HARDWARE AND SOFTWARE"/>
    <s v="TBA"/>
    <m/>
    <m/>
    <m/>
    <d v="2007-05-30T00:00:00"/>
    <d v="2007-05-30T00:00:00"/>
    <s v="07-2149-413"/>
    <n v="300"/>
    <n v="14110"/>
    <n v="1618.75"/>
    <n v="14116"/>
    <n v="1618.75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9690"/>
    <s v="P"/>
    <s v="Capitalized"/>
    <s v="1.5 Yard Rear Load"/>
    <m/>
    <m/>
    <n v="26"/>
    <n v="0"/>
    <n v="0"/>
    <s v="ENTERPRISE SALES, INC."/>
    <m/>
    <s v="CONTAINERS"/>
    <s v="TBA"/>
    <m/>
    <s v="1.5 YD"/>
    <s v="FEL/REL/SL Metal"/>
    <d v="2007-04-04T00:00:00"/>
    <d v="2007-04-04T00:00:00"/>
    <s v="07-2149-009"/>
    <n v="1200"/>
    <n v="14050"/>
    <n v="10348"/>
    <n v="14056"/>
    <n v="1034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9689"/>
    <s v="P"/>
    <s v="Capitalized"/>
    <s v="2 Yard Rear Load containers"/>
    <m/>
    <m/>
    <n v="53"/>
    <n v="0"/>
    <n v="0"/>
    <s v="ENTERPRISE SALES, INC."/>
    <m/>
    <s v="CONTAINERS"/>
    <s v="TBA"/>
    <m/>
    <s v="2 YD"/>
    <s v="FEL/REL/SL Metal"/>
    <d v="2007-04-04T00:00:00"/>
    <d v="2007-04-04T00:00:00"/>
    <s v="07-2149-008"/>
    <n v="1200"/>
    <n v="14050"/>
    <n v="22048"/>
    <n v="14056"/>
    <n v="2204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9688"/>
    <s v="P"/>
    <s v="Capitalized"/>
    <s v="40 Yard Dropbox Solid Lids"/>
    <m/>
    <m/>
    <n v="4"/>
    <n v="0"/>
    <n v="0"/>
    <s v="ENTERPRISE SALES, INC."/>
    <m/>
    <s v="CONTAINERS"/>
    <s v="TBA"/>
    <m/>
    <s v="40 YD"/>
    <s v="RO Box"/>
    <d v="2007-04-04T00:00:00"/>
    <d v="2007-04-04T00:00:00"/>
    <s v="07-2149-003"/>
    <n v="1200"/>
    <n v="14050"/>
    <n v="21080"/>
    <n v="14056"/>
    <n v="2108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9687"/>
    <s v="P"/>
    <s v="Capitalized"/>
    <s v="20 Yard Solid Lids"/>
    <m/>
    <m/>
    <n v="4"/>
    <n v="0"/>
    <n v="0"/>
    <s v="ENTERPRISE SALES, INC."/>
    <m/>
    <s v="CONTAINERS"/>
    <s v="TBA"/>
    <m/>
    <m/>
    <m/>
    <d v="2007-04-04T00:00:00"/>
    <d v="2007-04-04T00:00:00"/>
    <s v="07-2149-002"/>
    <n v="1200"/>
    <n v="14050"/>
    <n v="17400"/>
    <n v="14056"/>
    <n v="174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9686"/>
    <s v="P"/>
    <s v="Capitalized"/>
    <s v="20 Yard Open Tops"/>
    <m/>
    <m/>
    <n v="6"/>
    <n v="0"/>
    <n v="0"/>
    <s v="ENTERPRISE SALES, INC."/>
    <m/>
    <s v="CONTAINERS"/>
    <s v="TBA"/>
    <m/>
    <s v="20 YD"/>
    <s v="RO Box"/>
    <d v="2007-04-04T00:00:00"/>
    <d v="2007-04-04T00:00:00"/>
    <s v="07-2149-001"/>
    <n v="1200"/>
    <n v="14050"/>
    <n v="20940"/>
    <n v="14056"/>
    <n v="2094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8172"/>
    <s v="P"/>
    <s v="Capitalized"/>
    <s v="2003 GMC Pickup"/>
    <m/>
    <m/>
    <n v="1"/>
    <s v="1GTHK23113F156563"/>
    <n v="2003"/>
    <s v="GMC Sierra"/>
    <s v="GMC"/>
    <s v="TRUCKS AND TRAILERS"/>
    <s v="TBA"/>
    <s v="Pickup Truck"/>
    <m/>
    <m/>
    <d v="2007-01-30T00:00:00"/>
    <d v="2007-01-30T00:00:00"/>
    <s v="07-2149-005"/>
    <n v="1000"/>
    <n v="14040"/>
    <n v="29915.5"/>
    <n v="14046"/>
    <n v="29915.5"/>
    <n v="0"/>
    <n v="0"/>
    <n v="51260"/>
    <n v="0"/>
    <s v="P"/>
    <m/>
    <s v="C1"/>
    <s v=" "/>
    <s v="STL"/>
    <s v="YES"/>
    <s v="TBD"/>
    <n v="0"/>
    <x v="20"/>
    <m/>
    <m/>
    <m/>
    <m/>
    <m/>
    <m/>
    <m/>
    <m/>
    <m/>
    <m/>
    <x v="1"/>
  </r>
  <r>
    <n v="2149"/>
    <n v="47447"/>
    <s v="P"/>
    <s v="Capitalized"/>
    <s v="20 yard box"/>
    <m/>
    <m/>
    <n v="1"/>
    <n v="0"/>
    <n v="0"/>
    <s v="ENTERPRISE SALES, INC."/>
    <m/>
    <s v="CONTAINERS"/>
    <s v="TBA"/>
    <m/>
    <s v="20 YD"/>
    <s v="RO Box"/>
    <d v="2006-08-08T00:00:00"/>
    <d v="2006-08-08T00:00:00"/>
    <s v="06-2149-002"/>
    <n v="1200"/>
    <n v="14050"/>
    <n v="4300"/>
    <n v="14056"/>
    <n v="43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7388"/>
    <s v="P"/>
    <s v="Capitalized"/>
    <s v="20 yard boxes"/>
    <m/>
    <m/>
    <n v="6"/>
    <n v="0"/>
    <n v="0"/>
    <s v="ENTERPRISE SALES, INC."/>
    <m/>
    <s v="CONTAINERS"/>
    <s v="TBA"/>
    <m/>
    <s v="20 YD"/>
    <s v="RO Box"/>
    <d v="2006-10-24T00:00:00"/>
    <d v="2006-10-24T00:00:00"/>
    <s v="06-2149-408"/>
    <n v="1200"/>
    <n v="14050"/>
    <n v="21594"/>
    <n v="14056"/>
    <n v="2159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6465"/>
    <s v="P"/>
    <s v="Capitalized"/>
    <s v="Voice Mail system"/>
    <m/>
    <m/>
    <n v="1"/>
    <n v="0"/>
    <n v="0"/>
    <m/>
    <m/>
    <s v="OFFICE EQUIPMENT"/>
    <s v="TBA"/>
    <m/>
    <m/>
    <m/>
    <d v="2006-10-01T00:00:00"/>
    <d v="2006-10-01T00:00:00"/>
    <s v="06-2149-409"/>
    <n v="500"/>
    <n v="14100"/>
    <n v="2550.4699999999998"/>
    <n v="14106"/>
    <n v="2550.4699999999998"/>
    <n v="0"/>
    <n v="0"/>
    <n v="70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5786"/>
    <n v="45066"/>
    <s v="Capitalized"/>
    <s v="RO Vin#575706"/>
    <m/>
    <m/>
    <n v="1"/>
    <s v="1NPFLB0X77D675706"/>
    <n v="2006"/>
    <m/>
    <m/>
    <s v="TRUCKS AND TRAILERS"/>
    <s v="TBA"/>
    <s v="Roll Off"/>
    <m/>
    <m/>
    <d v="2006-09-25T00:00:00"/>
    <d v="2006-09-25T00:00:00"/>
    <s v="06-2149-014"/>
    <n v="1000"/>
    <n v="14040"/>
    <n v="54351.26"/>
    <n v="14046"/>
    <n v="54351.26"/>
    <n v="0"/>
    <n v="0"/>
    <n v="51260"/>
    <n v="0"/>
    <s v="P"/>
    <m/>
    <n v="7"/>
    <s v=" "/>
    <s v="STL"/>
    <s v="YES"/>
    <s v="TBD"/>
    <n v="0"/>
    <x v="20"/>
    <m/>
    <m/>
    <m/>
    <m/>
    <m/>
    <m/>
    <m/>
    <m/>
    <m/>
    <m/>
    <x v="1"/>
  </r>
  <r>
    <n v="2149"/>
    <n v="45676"/>
    <s v="P"/>
    <s v="Capitalized"/>
    <s v="20 yard"/>
    <m/>
    <m/>
    <n v="1"/>
    <n v="0"/>
    <n v="0"/>
    <s v="ENTERPRISE SALES, INC."/>
    <m/>
    <s v="CONTAINERS"/>
    <s v="TBA"/>
    <m/>
    <s v="20 YD"/>
    <s v="RO Box"/>
    <d v="2006-08-08T00:00:00"/>
    <d v="2006-08-08T00:00:00"/>
    <s v="06-2149-012"/>
    <n v="1200"/>
    <n v="14050"/>
    <n v="4756"/>
    <n v="14056"/>
    <n v="4756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5675"/>
    <s v="P"/>
    <s v="Capitalized"/>
    <s v="2 YD RL"/>
    <m/>
    <m/>
    <n v="33"/>
    <n v="0"/>
    <n v="0"/>
    <s v="ENTERPRISE SALES, INC."/>
    <m/>
    <s v="CONTAINERS"/>
    <s v="TBA"/>
    <m/>
    <s v="2 YD"/>
    <s v="FEL/REL/SL Metal"/>
    <d v="2006-08-08T00:00:00"/>
    <d v="2006-08-08T00:00:00"/>
    <s v="06-2149-405"/>
    <n v="1200"/>
    <n v="14050"/>
    <n v="13728"/>
    <n v="14056"/>
    <n v="1372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5239"/>
    <s v="P"/>
    <s v="Capitalized"/>
    <s v="20 yard drop box"/>
    <m/>
    <m/>
    <n v="1"/>
    <n v="0"/>
    <n v="0"/>
    <s v="ENTERPRISE SALES, INC."/>
    <m/>
    <s v="CONTAINERS"/>
    <s v="TBA"/>
    <m/>
    <s v="20 YD"/>
    <s v="RO Box"/>
    <d v="2006-08-08T00:00:00"/>
    <d v="2006-08-08T00:00:00"/>
    <s v="06-2149-003"/>
    <n v="1200"/>
    <n v="14050"/>
    <n v="4350"/>
    <n v="14056"/>
    <n v="435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5238"/>
    <s v="P"/>
    <s v="Capitalized"/>
    <s v="20 Yard Boxes"/>
    <m/>
    <m/>
    <n v="4"/>
    <n v="0"/>
    <n v="0"/>
    <s v="ENTERPRISE SALES, INC."/>
    <m/>
    <s v="CONTAINERS"/>
    <s v="TBA"/>
    <m/>
    <s v="20 YD"/>
    <s v="RO Box"/>
    <d v="2006-08-08T00:00:00"/>
    <d v="2006-08-08T00:00:00"/>
    <s v="06-2149-001"/>
    <n v="1200"/>
    <n v="14050"/>
    <n v="14280"/>
    <n v="14056"/>
    <n v="1428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5066"/>
    <s v="P"/>
    <s v="Capitalized"/>
    <s v="2007 Peterbilt 378 Chassis"/>
    <m/>
    <m/>
    <n v="1"/>
    <s v="1NPFLB0X77D675706"/>
    <n v="2007"/>
    <s v="Peterbilt 378"/>
    <s v="Cascon"/>
    <s v="TRUCKS AND TRAILERS"/>
    <s v="TBA"/>
    <s v="Roll Off"/>
    <m/>
    <m/>
    <d v="2006-07-27T00:00:00"/>
    <d v="2006-07-27T00:00:00"/>
    <s v="06-2149-014"/>
    <n v="1000"/>
    <n v="14040"/>
    <n v="128063.15"/>
    <n v="14046"/>
    <n v="128063.15"/>
    <n v="0"/>
    <n v="0"/>
    <n v="51260"/>
    <n v="0"/>
    <s v="P"/>
    <m/>
    <n v="7"/>
    <s v=" "/>
    <s v="STL"/>
    <s v="YES"/>
    <s v="TBD"/>
    <n v="0"/>
    <x v="20"/>
    <m/>
    <m/>
    <m/>
    <m/>
    <m/>
    <m/>
    <m/>
    <m/>
    <m/>
    <m/>
    <x v="1"/>
  </r>
  <r>
    <n v="2149"/>
    <n v="44804"/>
    <s v="P"/>
    <s v="Capitalized"/>
    <s v="20 Yard boxes"/>
    <m/>
    <m/>
    <n v="2"/>
    <n v="0"/>
    <n v="0"/>
    <s v="ENTERPRISE SALES, INC."/>
    <m/>
    <s v="CONTAINERS"/>
    <s v="TBA"/>
    <m/>
    <s v="20 YD"/>
    <s v="RO Box"/>
    <d v="2006-03-31T00:00:00"/>
    <d v="2006-03-31T00:00:00"/>
    <s v="06-2149-008"/>
    <n v="1200"/>
    <n v="14050"/>
    <n v="8600"/>
    <n v="14056"/>
    <n v="86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4803"/>
    <s v="P"/>
    <s v="Capitalized"/>
    <s v="20 yard boxes"/>
    <m/>
    <m/>
    <n v="2"/>
    <n v="0"/>
    <n v="0"/>
    <s v="ENTERPRISE SALES, INC."/>
    <m/>
    <s v="CONTAINERS"/>
    <s v="TBA"/>
    <m/>
    <s v="20 YD"/>
    <s v="RO Box"/>
    <d v="2006-03-31T00:00:00"/>
    <d v="2006-03-31T00:00:00"/>
    <s v="06-2149-007"/>
    <n v="1200"/>
    <n v="14050"/>
    <n v="8700"/>
    <n v="14056"/>
    <n v="87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4802"/>
    <s v="P"/>
    <s v="Capitalized"/>
    <s v="20 YARD BOXES"/>
    <m/>
    <m/>
    <n v="8"/>
    <n v="0"/>
    <n v="0"/>
    <s v="ENTERPRISE SALES, INC."/>
    <m/>
    <s v="CONTAINERS"/>
    <s v="TBA"/>
    <m/>
    <s v="20 YD"/>
    <s v="RO Box"/>
    <d v="2006-03-31T00:00:00"/>
    <d v="2006-03-31T00:00:00"/>
    <s v="06-2149-006"/>
    <n v="1200"/>
    <n v="14050"/>
    <n v="28560"/>
    <n v="14056"/>
    <n v="2856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4527"/>
    <s v="P"/>
    <s v="Capitalized"/>
    <s v="40 YARD BOXES"/>
    <m/>
    <m/>
    <n v="4"/>
    <n v="0"/>
    <n v="0"/>
    <s v="ENTERPRISE SALES, INC."/>
    <m/>
    <s v="CONTAINERS"/>
    <s v="TBA"/>
    <m/>
    <s v="40 YD"/>
    <s v="RO Box"/>
    <d v="2006-03-31T00:00:00"/>
    <d v="2006-03-31T00:00:00"/>
    <s v="06-2149-005"/>
    <n v="1200"/>
    <n v="14050"/>
    <n v="21480"/>
    <n v="14056"/>
    <n v="2148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4526"/>
    <s v="P"/>
    <s v="Capitalized"/>
    <s v="10 YARD BOX"/>
    <m/>
    <m/>
    <n v="1"/>
    <n v="0"/>
    <n v="0"/>
    <s v="ENTERPRISE SALES, INC."/>
    <m/>
    <s v="CONTAINERS"/>
    <s v="TBA"/>
    <m/>
    <s v="10 YD"/>
    <s v="RO Box"/>
    <d v="2006-03-31T00:00:00"/>
    <d v="2006-03-31T00:00:00"/>
    <s v="06-2149-009"/>
    <n v="1200"/>
    <n v="14050"/>
    <n v="2650"/>
    <n v="14056"/>
    <n v="265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4525"/>
    <s v="P"/>
    <s v="Capitalized"/>
    <s v="1.5 yard rear load containers"/>
    <m/>
    <m/>
    <n v="10"/>
    <n v="0"/>
    <n v="0"/>
    <s v="CAPITAL INDUSTRIES, INC."/>
    <m/>
    <s v="CONTAINERS"/>
    <s v="TBA"/>
    <m/>
    <s v="1.5 YD"/>
    <s v="FEL/REL/SL Metal"/>
    <d v="2006-03-29T00:00:00"/>
    <d v="2006-03-29T00:00:00"/>
    <s v="06-2149-011"/>
    <n v="1200"/>
    <n v="14050"/>
    <n v="4150"/>
    <n v="14056"/>
    <n v="415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3554"/>
    <s v="P"/>
    <s v="Capitalized"/>
    <s v="2 yard containers"/>
    <m/>
    <m/>
    <n v="50"/>
    <n v="0"/>
    <n v="0"/>
    <s v="CAPITAL INDUSTRIES, INC."/>
    <m/>
    <s v="CONTAINERS"/>
    <s v="TBA"/>
    <m/>
    <s v="2 YD"/>
    <s v="FEL/REL/SL Metal"/>
    <d v="2006-02-17T00:00:00"/>
    <d v="2006-02-17T00:00:00"/>
    <s v="06-2149-010"/>
    <n v="1200"/>
    <n v="14050"/>
    <n v="21750"/>
    <n v="14056"/>
    <n v="2175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3533"/>
    <s v="P"/>
    <s v="Capitalized"/>
    <s v="20YD Roll Off"/>
    <m/>
    <m/>
    <n v="2"/>
    <n v="0"/>
    <n v="0"/>
    <s v="CAPITAL INDUSTRIES, INC."/>
    <m/>
    <s v="CONTAINERS"/>
    <s v="TBA"/>
    <m/>
    <s v="20 YD"/>
    <s v="RO Box"/>
    <d v="2006-01-01T00:00:00"/>
    <d v="2006-01-01T00:00:00"/>
    <s v="06-2149-404"/>
    <n v="1110"/>
    <n v="14050"/>
    <n v="7200"/>
    <n v="14056"/>
    <n v="72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41652"/>
    <s v="P"/>
    <s v="Capitalized"/>
    <s v="20 yard open top drop box, blue"/>
    <m/>
    <m/>
    <n v="2"/>
    <n v="0"/>
    <n v="0"/>
    <s v="CAPITAL INDUSTRIAL INC"/>
    <m/>
    <s v="CONTAINERS"/>
    <s v="TBA"/>
    <m/>
    <s v="20 YD"/>
    <s v="RO Box"/>
    <d v="2006-01-01T00:00:00"/>
    <d v="2006-01-01T00:00:00"/>
    <s v="06-2149-404"/>
    <n v="1110"/>
    <n v="14050"/>
    <n v="7200"/>
    <n v="14056"/>
    <n v="72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37579"/>
    <s v="P"/>
    <s v="Capitalized"/>
    <s v="381'X6' Chain Link Fence Installed"/>
    <m/>
    <m/>
    <n v="1"/>
    <m/>
    <n v="0"/>
    <s v="Southgate Fence, Inc."/>
    <m/>
    <s v="LEASEHOLD IMPROVEMENTS"/>
    <s v="LEASEHOLD IMPROVEMENTS"/>
    <m/>
    <m/>
    <m/>
    <d v="2005-09-16T00:00:00"/>
    <d v="2005-09-16T00:00:00"/>
    <n v="52149005"/>
    <n v="511"/>
    <n v="14090"/>
    <n v="4273.5200000000004"/>
    <n v="14096"/>
    <n v="4273.5200000000004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35124"/>
    <s v="P"/>
    <s v="Capitalized"/>
    <s v="2 Yard R/L Containers w/ Lids &amp; Casters"/>
    <m/>
    <m/>
    <n v="24"/>
    <m/>
    <n v="0"/>
    <s v="Capital Industries, Inc."/>
    <m/>
    <s v="CONTAINERS"/>
    <s v="TBA"/>
    <m/>
    <s v="2 YD"/>
    <s v="FEL/REL/SL Metal"/>
    <d v="2005-05-31T00:00:00"/>
    <d v="2005-05-31T00:00:00"/>
    <n v="52149003"/>
    <n v="1200"/>
    <n v="14050"/>
    <n v="10944"/>
    <n v="14056"/>
    <n v="10944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33335"/>
    <n v="33233"/>
    <s v="Capitalized"/>
    <s v="Used 1999 Case 580 L II Backhoe-Down Payment"/>
    <m/>
    <m/>
    <n v="1"/>
    <s v="JJG0243499"/>
    <n v="1999"/>
    <s v="Richard P. Fredrickson"/>
    <m/>
    <s v="HEAVY EQUIPMENT"/>
    <s v="TBA"/>
    <s v="Backhoe"/>
    <m/>
    <m/>
    <d v="2005-05-23T00:00:00"/>
    <d v="2005-05-23T00:00:00"/>
    <n v="52149002"/>
    <n v="1000"/>
    <n v="14030"/>
    <n v="1000"/>
    <n v="14036"/>
    <n v="1000"/>
    <n v="0"/>
    <n v="0"/>
    <n v="51260"/>
    <n v="0"/>
    <s v="P"/>
    <n v="0"/>
    <s v="B2"/>
    <s v=" "/>
    <s v="STL"/>
    <s v="YES"/>
    <s v="TBD"/>
    <n v="0"/>
    <x v="20"/>
    <m/>
    <m/>
    <m/>
    <m/>
    <m/>
    <m/>
    <m/>
    <m/>
    <m/>
    <m/>
    <x v="1"/>
  </r>
  <r>
    <n v="2149"/>
    <n v="33233"/>
    <s v="P"/>
    <s v="Capitalized"/>
    <s v="Used 1999 Case 580 L II Backhoe"/>
    <m/>
    <m/>
    <n v="1"/>
    <s v="JJG0243499"/>
    <n v="1999"/>
    <s v="CASE"/>
    <s v="Case"/>
    <s v="HEAVY EQUIPMENT"/>
    <s v="TBA"/>
    <s v="Backhoe"/>
    <m/>
    <m/>
    <d v="2005-05-09T00:00:00"/>
    <d v="2005-05-09T00:00:00"/>
    <n v="52149002"/>
    <n v="1000"/>
    <n v="14030"/>
    <n v="41867.199999999997"/>
    <n v="14036"/>
    <n v="41867.199999999997"/>
    <n v="0"/>
    <n v="0"/>
    <n v="51260"/>
    <n v="0"/>
    <s v="P"/>
    <n v="0"/>
    <s v="B2"/>
    <s v=" "/>
    <s v="STL"/>
    <s v="YES"/>
    <s v="TBD"/>
    <n v="0"/>
    <x v="20"/>
    <m/>
    <m/>
    <m/>
    <m/>
    <m/>
    <m/>
    <m/>
    <m/>
    <m/>
    <m/>
    <x v="1"/>
  </r>
  <r>
    <n v="2149"/>
    <n v="29922"/>
    <s v="P"/>
    <s v="Capitalized"/>
    <s v="Container Repair - Internal Labor - September"/>
    <m/>
    <m/>
    <n v="1"/>
    <m/>
    <n v="0"/>
    <s v="Internal"/>
    <m/>
    <s v="CONTAINERS"/>
    <s v="TBA"/>
    <m/>
    <m/>
    <m/>
    <d v="2004-09-30T00:00:00"/>
    <d v="2004-09-30T00:00:00"/>
    <m/>
    <n v="600"/>
    <n v="14050"/>
    <n v="1195.3399999999999"/>
    <n v="14056"/>
    <n v="1195.3399999999999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9921"/>
    <s v="P"/>
    <s v="Capitalized"/>
    <s v="Container Repair - Internal Labor - May"/>
    <m/>
    <m/>
    <n v="1"/>
    <m/>
    <n v="0"/>
    <s v="Internal"/>
    <m/>
    <s v="CONTAINERS"/>
    <s v="TBA"/>
    <m/>
    <m/>
    <m/>
    <d v="2004-05-31T00:00:00"/>
    <d v="2004-05-31T00:00:00"/>
    <m/>
    <n v="600"/>
    <n v="14050"/>
    <n v="661.74"/>
    <n v="14056"/>
    <n v="661.74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9920"/>
    <s v="P"/>
    <s v="Capitalized"/>
    <s v="Container Repair - Internal Labor - June"/>
    <m/>
    <m/>
    <n v="1"/>
    <m/>
    <n v="0"/>
    <s v="Internal"/>
    <m/>
    <s v="CONTAINERS"/>
    <s v="TBA"/>
    <m/>
    <m/>
    <m/>
    <d v="2004-06-30T00:00:00"/>
    <d v="2004-06-30T00:00:00"/>
    <m/>
    <n v="600"/>
    <n v="14050"/>
    <n v="992.62"/>
    <n v="14056"/>
    <n v="992.62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9919"/>
    <s v="P"/>
    <s v="Capitalized"/>
    <s v="Container Repair - Internal Labor - August"/>
    <m/>
    <m/>
    <n v="1"/>
    <m/>
    <n v="0"/>
    <s v="Internal"/>
    <m/>
    <s v="CONTAINERS"/>
    <s v="TBA"/>
    <m/>
    <m/>
    <m/>
    <d v="2004-08-31T00:00:00"/>
    <d v="2004-08-31T00:00:00"/>
    <m/>
    <n v="600"/>
    <n v="14050"/>
    <n v="1323.17"/>
    <n v="14056"/>
    <n v="1323.17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9918"/>
    <s v="P"/>
    <s v="Capitalized"/>
    <s v="Container Repair - Internal Labor - July"/>
    <m/>
    <m/>
    <n v="1"/>
    <m/>
    <n v="0"/>
    <s v="Internal"/>
    <m/>
    <s v="CONTAINERS"/>
    <s v="TBA"/>
    <m/>
    <m/>
    <m/>
    <d v="2004-07-31T00:00:00"/>
    <d v="2004-07-31T00:00:00"/>
    <m/>
    <n v="600"/>
    <n v="14050"/>
    <n v="1189.28"/>
    <n v="14056"/>
    <n v="1189.28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9630"/>
    <n v="27371"/>
    <s v="Capitalized"/>
    <s v="(1) Kenwood TK880 Radio for 2005 Int'l REL Truck"/>
    <m/>
    <m/>
    <n v="1"/>
    <n v="60300168"/>
    <n v="2005"/>
    <m/>
    <m/>
    <s v="TRUCKS AND TRAILERS"/>
    <s v="TBA"/>
    <s v="Non-Rolling Stock"/>
    <m/>
    <m/>
    <d v="2004-11-01T00:00:00"/>
    <d v="2004-11-01T00:00:00"/>
    <n v="42149002"/>
    <n v="1000"/>
    <n v="14040"/>
    <n v="924.88"/>
    <n v="14046"/>
    <n v="924.88"/>
    <n v="0"/>
    <n v="0"/>
    <n v="51260"/>
    <n v="0"/>
    <s v="P"/>
    <n v="0"/>
    <n v="4"/>
    <s v=" "/>
    <s v="STL"/>
    <s v="YES"/>
    <s v="TBD"/>
    <n v="0"/>
    <x v="20"/>
    <m/>
    <m/>
    <m/>
    <m/>
    <m/>
    <m/>
    <m/>
    <m/>
    <m/>
    <m/>
    <x v="1"/>
  </r>
  <r>
    <n v="2149"/>
    <n v="28950"/>
    <s v="P"/>
    <s v="Capitalized"/>
    <s v="20 YD Drop Box, Endless Chain Style Containers"/>
    <m/>
    <m/>
    <n v="2"/>
    <m/>
    <n v="0"/>
    <s v="Enterprise Sales, Inc"/>
    <m/>
    <s v="CONTAINERS"/>
    <s v="TBA"/>
    <m/>
    <s v="20 YD"/>
    <s v="RO Box"/>
    <d v="2004-10-29T00:00:00"/>
    <d v="2004-10-29T00:00:00"/>
    <n v="42149004"/>
    <n v="1200"/>
    <n v="14050"/>
    <n v="7123.34"/>
    <n v="14056"/>
    <n v="7123.34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8674"/>
    <n v="27113"/>
    <s v="Capitalized"/>
    <s v="Rotator Attachhments &amp; 48 Forklifts"/>
    <m/>
    <m/>
    <n v="501"/>
    <s v="SYS# 4564"/>
    <n v="1999"/>
    <s v="Toyota Lift"/>
    <s v="Other"/>
    <s v="HEAVY EQUIPMENT"/>
    <s v="TBA"/>
    <s v="Forklift"/>
    <m/>
    <m/>
    <d v="1999-08-01T00:00:00"/>
    <d v="1999-08-01T00:00:00"/>
    <s v="99-2051-0007"/>
    <n v="700"/>
    <n v="14030"/>
    <n v="5917.04"/>
    <n v="14036"/>
    <n v="5917.04"/>
    <n v="0"/>
    <n v="0"/>
    <n v="51260"/>
    <n v="0"/>
    <s v="P"/>
    <n v="0"/>
    <s v="WV-21-4"/>
    <s v=" "/>
    <s v="STL"/>
    <s v="YES"/>
    <s v="TBD"/>
    <n v="0"/>
    <x v="20"/>
    <m/>
    <m/>
    <m/>
    <m/>
    <m/>
    <m/>
    <m/>
    <m/>
    <m/>
    <m/>
    <x v="1"/>
  </r>
  <r>
    <n v="2149"/>
    <n v="28121"/>
    <s v="P"/>
    <s v="Capitalized"/>
    <s v="Excavator Rentalf for Rebuild of Z-Wall"/>
    <m/>
    <m/>
    <n v="1"/>
    <m/>
    <n v="0"/>
    <s v="F.A. Hughes Construction"/>
    <m/>
    <s v="LEASEHOLD IMPROVEMENTS"/>
    <s v="LEASEHOLD IMPROVEMENTS"/>
    <m/>
    <m/>
    <m/>
    <d v="2004-09-22T00:00:00"/>
    <d v="2004-09-22T00:00:00"/>
    <n v="42149006"/>
    <n v="700"/>
    <n v="14090"/>
    <n v="1649.35"/>
    <n v="14096"/>
    <n v="1649.35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8120"/>
    <n v="27371"/>
    <s v="Capitalized"/>
    <s v="RemainingSales Tax on 2005 International Rear Load"/>
    <m/>
    <m/>
    <n v="1"/>
    <n v="54374"/>
    <n v="2005"/>
    <m/>
    <m/>
    <s v="TRUCKS AND TRAILERS"/>
    <s v="TBA"/>
    <s v="Non-Rolling Stock"/>
    <m/>
    <m/>
    <d v="2004-10-19T00:00:00"/>
    <d v="2004-10-19T00:00:00"/>
    <n v="42149002"/>
    <n v="1000"/>
    <n v="14040"/>
    <n v="4519.1899999999996"/>
    <n v="14046"/>
    <n v="4519.1899999999996"/>
    <n v="0"/>
    <n v="0"/>
    <n v="51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8116"/>
    <n v="27371"/>
    <s v="Capitalized"/>
    <s v="5 Black/White Camera System for 2005 Int' REL"/>
    <m/>
    <m/>
    <n v="1"/>
    <n v="54374"/>
    <n v="2005"/>
    <m/>
    <m/>
    <s v="TRUCKS AND TRAILERS"/>
    <s v="TBA"/>
    <s v="Non-Rolling Stock"/>
    <m/>
    <m/>
    <d v="2004-10-19T00:00:00"/>
    <d v="2004-10-19T00:00:00"/>
    <n v="42149002"/>
    <n v="1000"/>
    <n v="14040"/>
    <n v="302.44"/>
    <n v="14046"/>
    <n v="302.44"/>
    <n v="0"/>
    <n v="0"/>
    <n v="51260"/>
    <n v="0"/>
    <s v="P"/>
    <n v="0"/>
    <n v="4"/>
    <s v=" "/>
    <s v="STL"/>
    <s v="YES"/>
    <s v="TBD"/>
    <n v="0"/>
    <x v="20"/>
    <m/>
    <m/>
    <m/>
    <m/>
    <m/>
    <m/>
    <m/>
    <m/>
    <m/>
    <m/>
    <x v="1"/>
  </r>
  <r>
    <n v="2149"/>
    <n v="27749"/>
    <s v="P"/>
    <s v="Capitalized"/>
    <s v="Backhoe 580L 4x4 for Z Wall Buiild"/>
    <m/>
    <m/>
    <n v="1"/>
    <m/>
    <n v="0"/>
    <s v="Gateway Rental Center, In"/>
    <m/>
    <s v="LEASEHOLD IMPROVEMENTS"/>
    <s v="LEASEHOLD IMPROVEMENTS"/>
    <m/>
    <m/>
    <m/>
    <d v="2004-08-03T00:00:00"/>
    <d v="2004-08-03T00:00:00"/>
    <n v="42149006"/>
    <n v="1000"/>
    <n v="14090"/>
    <n v="909.29"/>
    <n v="14096"/>
    <n v="909.29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7625"/>
    <n v="27371"/>
    <s v="Capitalized"/>
    <s v="Sales Tax on 2005 International Rear Load"/>
    <m/>
    <m/>
    <n v="1"/>
    <n v="54374"/>
    <n v="2005"/>
    <m/>
    <m/>
    <s v="TRUCKS AND TRAILERS"/>
    <s v="TBA"/>
    <s v="Non-Rolling Stock"/>
    <m/>
    <m/>
    <d v="2004-09-04T00:00:00"/>
    <d v="2004-09-04T00:00:00"/>
    <n v="42149002"/>
    <n v="1000"/>
    <n v="14040"/>
    <n v="504.82"/>
    <n v="14046"/>
    <n v="504.82"/>
    <n v="0"/>
    <n v="0"/>
    <n v="51260"/>
    <n v="0"/>
    <s v="P"/>
    <n v="0"/>
    <n v="4"/>
    <s v=" "/>
    <s v="STL"/>
    <s v="YES"/>
    <s v="TBD"/>
    <n v="0"/>
    <x v="20"/>
    <m/>
    <m/>
    <m/>
    <m/>
    <m/>
    <m/>
    <m/>
    <m/>
    <m/>
    <m/>
    <x v="1"/>
  </r>
  <r>
    <n v="2149"/>
    <n v="27371"/>
    <s v="P"/>
    <s v="Capitalized"/>
    <s v="2005 International 7400 Flat bed"/>
    <m/>
    <m/>
    <n v="1"/>
    <s v="1HTWCAZR55J054374"/>
    <n v="2005"/>
    <s v="International 7400"/>
    <s v="Capital Industrial"/>
    <s v="TRUCKS AND TRAILERS"/>
    <s v="TBA"/>
    <s v="Container Delivery Truck"/>
    <m/>
    <m/>
    <d v="2004-08-25T00:00:00"/>
    <d v="2004-08-25T00:00:00"/>
    <s v="04-2149-002"/>
    <n v="1000"/>
    <n v="14040"/>
    <n v="67645.33"/>
    <n v="14046"/>
    <n v="67645.33"/>
    <n v="0"/>
    <n v="0"/>
    <n v="51260"/>
    <n v="0"/>
    <s v="P"/>
    <n v="0"/>
    <n v="4"/>
    <s v=" "/>
    <s v="STL"/>
    <s v="YES"/>
    <s v="TBD"/>
    <n v="0"/>
    <x v="20"/>
    <m/>
    <m/>
    <m/>
    <m/>
    <m/>
    <m/>
    <m/>
    <m/>
    <m/>
    <m/>
    <x v="1"/>
  </r>
  <r>
    <n v="2149"/>
    <n v="27370"/>
    <n v="27371"/>
    <s v="Capitalized"/>
    <s v="F400 20 YD Body on 2005 7400 Rear Load Truck"/>
    <m/>
    <m/>
    <n v="1"/>
    <s v="4F1019078"/>
    <n v="2005"/>
    <m/>
    <m/>
    <s v="TRUCKS AND TRAILERS"/>
    <s v="TBA"/>
    <s v="Rear Loader"/>
    <m/>
    <m/>
    <d v="2004-09-29T00:00:00"/>
    <d v="2004-09-29T00:00:00"/>
    <s v="04-2149-002"/>
    <n v="1000"/>
    <n v="14040"/>
    <n v="39052.99"/>
    <n v="14046"/>
    <n v="39052.99"/>
    <n v="0"/>
    <n v="0"/>
    <n v="51260"/>
    <n v="0"/>
    <s v="P"/>
    <n v="0"/>
    <n v="4"/>
    <s v=" "/>
    <s v="STL"/>
    <s v="YES"/>
    <s v="TBD"/>
    <n v="0"/>
    <x v="20"/>
    <m/>
    <m/>
    <m/>
    <m/>
    <m/>
    <m/>
    <m/>
    <m/>
    <m/>
    <m/>
    <x v="1"/>
  </r>
  <r>
    <n v="2149"/>
    <n v="27113"/>
    <s v="P"/>
    <s v="Capitalized"/>
    <s v="Toyota Forklift 6000#"/>
    <m/>
    <m/>
    <n v="501"/>
    <s v="SN60864"/>
    <n v="1992"/>
    <s v="Toyota"/>
    <s v="Toyota"/>
    <s v="HEAVY EQUIPMENT"/>
    <s v="TBA"/>
    <s v="Forklift"/>
    <m/>
    <m/>
    <d v="1999-03-01T00:00:00"/>
    <d v="1999-03-01T00:00:00"/>
    <m/>
    <n v="1000"/>
    <n v="14030"/>
    <n v="15200"/>
    <n v="14036"/>
    <n v="15200"/>
    <n v="0"/>
    <n v="0"/>
    <n v="51260"/>
    <n v="0"/>
    <s v="A"/>
    <s v="CRC"/>
    <s v="FL1"/>
    <s v=" "/>
    <s v="STL"/>
    <s v="YES"/>
    <s v="TBD"/>
    <n v="0"/>
    <x v="20"/>
    <m/>
    <m/>
    <m/>
    <m/>
    <m/>
    <m/>
    <m/>
    <m/>
    <m/>
    <m/>
    <x v="1"/>
  </r>
  <r>
    <n v="2149"/>
    <n v="27085"/>
    <n v="27113"/>
    <s v="Capitalized"/>
    <s v="Toyota Forklift Engine Replacement"/>
    <m/>
    <m/>
    <n v="500"/>
    <m/>
    <n v="0"/>
    <s v="CB Toyota-Lift"/>
    <m/>
    <s v="HEAVY EQUIPMENT"/>
    <s v="TBA"/>
    <s v="Non-Rolling Stock"/>
    <m/>
    <m/>
    <d v="2003-02-26T00:00:00"/>
    <d v="2003-02-26T00:00:00"/>
    <s v="03-2051-038"/>
    <n v="300"/>
    <n v="14030"/>
    <n v="9732.39"/>
    <n v="14036"/>
    <n v="9732.39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6948"/>
    <s v="P"/>
    <s v="Capitalized"/>
    <s v="Laptop &amp; Port Replicator for Julie Marillo"/>
    <m/>
    <m/>
    <n v="1"/>
    <s v="CNU4120L80"/>
    <n v="0"/>
    <s v="Quest"/>
    <m/>
    <s v="HARDWARE AND SOFTWARE"/>
    <s v="TBA"/>
    <m/>
    <m/>
    <m/>
    <d v="2004-07-13T00:00:00"/>
    <d v="2004-07-13T00:00:00"/>
    <m/>
    <n v="300"/>
    <n v="14110"/>
    <n v="2050"/>
    <n v="14116"/>
    <n v="2050"/>
    <n v="0"/>
    <n v="0"/>
    <n v="70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929"/>
    <s v="P"/>
    <s v="Capitalized"/>
    <s v="Truck &amp; Trailer Rental for Z Wall Repair"/>
    <m/>
    <m/>
    <n v="1"/>
    <m/>
    <n v="0"/>
    <s v="Miles Sand and Gravel Com"/>
    <m/>
    <s v="LEASEHOLD IMPROVEMENTS"/>
    <s v="LEASEHOLD IMPROVEMENTS"/>
    <m/>
    <m/>
    <m/>
    <d v="2004-08-01T00:00:00"/>
    <d v="2004-08-01T00:00:00"/>
    <n v="42149006"/>
    <n v="1000"/>
    <n v="14090"/>
    <n v="950.34"/>
    <n v="14096"/>
    <n v="950.34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928"/>
    <s v="P"/>
    <s v="Capitalized"/>
    <s v="128 ea. Ecol 2x2x2"/>
    <m/>
    <m/>
    <n v="1"/>
    <m/>
    <n v="0"/>
    <s v="Miles Sand and Gravel Com"/>
    <m/>
    <s v="LEASEHOLD IMPROVEMENTS"/>
    <s v="LEASEHOLD IMPROVEMENTS"/>
    <m/>
    <m/>
    <m/>
    <d v="2004-08-04T00:00:00"/>
    <d v="2004-08-04T00:00:00"/>
    <n v="42149006"/>
    <n v="1000"/>
    <n v="14090"/>
    <n v="4158.72"/>
    <n v="14096"/>
    <n v="4158.72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927"/>
    <s v="P"/>
    <s v="Capitalized"/>
    <s v="12 Concrete Saw, Gas; 12 Dry Concrete DMD BL"/>
    <m/>
    <m/>
    <n v="1"/>
    <m/>
    <n v="0"/>
    <s v="Gateway Rental Center, In"/>
    <m/>
    <s v="LEASEHOLD IMPROVEMENTS"/>
    <s v="LEASEHOLD IMPROVEMENTS"/>
    <m/>
    <m/>
    <m/>
    <d v="2004-08-03T00:00:00"/>
    <d v="2004-08-03T00:00:00"/>
    <n v="42149006"/>
    <n v="1000"/>
    <n v="14090"/>
    <n v="473.27"/>
    <n v="14096"/>
    <n v="473.27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926"/>
    <s v="P"/>
    <s v="Capitalized"/>
    <s v="Z Wall Repair - Teflon Hose; Aeroquip"/>
    <m/>
    <m/>
    <n v="1"/>
    <m/>
    <n v="0"/>
    <s v="L. G. Isaacson Co., Inc."/>
    <m/>
    <s v="LEASEHOLD IMPROVEMENTS"/>
    <s v="LEASEHOLD IMPROVEMENTS"/>
    <m/>
    <m/>
    <m/>
    <d v="2004-07-30T00:00:00"/>
    <d v="2004-07-30T00:00:00"/>
    <n v="42149006"/>
    <n v="1000"/>
    <n v="14090"/>
    <n v="466.12"/>
    <n v="14096"/>
    <n v="466.12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925"/>
    <s v="P"/>
    <s v="Capitalized"/>
    <s v="Z Wall Repair-Fitting; 1/2 Malleable Cable Clamp"/>
    <m/>
    <m/>
    <n v="1"/>
    <m/>
    <n v="0"/>
    <s v="L. G. Isaacson Co., Inc."/>
    <m/>
    <s v="LEASEHOLD IMPROVEMENTS"/>
    <s v="LEASEHOLD IMPROVEMENTS"/>
    <m/>
    <m/>
    <m/>
    <d v="2004-07-30T00:00:00"/>
    <d v="2004-07-30T00:00:00"/>
    <n v="42149006"/>
    <n v="1000"/>
    <n v="14090"/>
    <n v="52.42"/>
    <n v="14096"/>
    <n v="52.42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6314"/>
    <s v="P"/>
    <s v="Capitalized"/>
    <s v="2 YD Rearload Containers w/ Plastic Lids"/>
    <m/>
    <m/>
    <n v="18"/>
    <m/>
    <n v="0"/>
    <s v="Capital Industries, inc."/>
    <m/>
    <s v="CONTAINERS"/>
    <s v="TBA"/>
    <m/>
    <s v="2 YD"/>
    <s v="FEL/REL/SL Metal"/>
    <d v="2004-06-30T00:00:00"/>
    <d v="2004-06-30T00:00:00"/>
    <s v="04-2149-007"/>
    <n v="1200"/>
    <n v="14050"/>
    <n v="7272"/>
    <n v="14056"/>
    <n v="7272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6313"/>
    <s v="P"/>
    <s v="Capitalized"/>
    <s v="Container Repairs - 6x2 Caster MOR Swivel; Hinge"/>
    <m/>
    <m/>
    <n v="1"/>
    <m/>
    <n v="0"/>
    <s v="PRT"/>
    <m/>
    <s v="CONTAINERS"/>
    <s v="TBA"/>
    <m/>
    <m/>
    <m/>
    <d v="2004-05-11T00:00:00"/>
    <d v="2004-05-11T00:00:00"/>
    <m/>
    <n v="600"/>
    <n v="14050"/>
    <n v="3851.25"/>
    <n v="14056"/>
    <n v="3851.25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5991"/>
    <n v="23895"/>
    <s v="Capitalized"/>
    <s v="Remote Speaker, Antenna Wiring &amp; Labor to Install"/>
    <m/>
    <m/>
    <n v="1"/>
    <s v="S110482"/>
    <n v="0"/>
    <m/>
    <m/>
    <s v="TRUCKS AND TRAILERS"/>
    <s v="TBA"/>
    <s v="Roll Off"/>
    <m/>
    <m/>
    <d v="2004-04-16T00:00:00"/>
    <d v="2004-04-16T00:00:00"/>
    <n v="42149001"/>
    <n v="1000"/>
    <n v="14040"/>
    <n v="924.88"/>
    <n v="14046"/>
    <n v="924.88"/>
    <n v="0"/>
    <n v="0"/>
    <n v="51260"/>
    <n v="0"/>
    <s v="P"/>
    <n v="0"/>
    <n v="25"/>
    <s v=" "/>
    <s v="STL"/>
    <s v="YES"/>
    <s v="TBD"/>
    <n v="0"/>
    <x v="20"/>
    <m/>
    <m/>
    <m/>
    <m/>
    <m/>
    <m/>
    <m/>
    <m/>
    <m/>
    <m/>
    <x v="1"/>
  </r>
  <r>
    <n v="2149"/>
    <n v="25402"/>
    <s v="P"/>
    <s v="Capitalized"/>
    <s v="2 YD RL Container Replacement Bottoms"/>
    <m/>
    <m/>
    <n v="30"/>
    <m/>
    <n v="0"/>
    <s v="Cascon transportation Equ"/>
    <m/>
    <s v="CONTAINERS"/>
    <s v="TBA"/>
    <m/>
    <s v="2 YD"/>
    <s v="FEL/REL/SL Metal"/>
    <d v="2004-05-07T00:00:00"/>
    <d v="2004-05-07T00:00:00"/>
    <m/>
    <n v="600"/>
    <n v="14050"/>
    <n v="4100.5"/>
    <n v="14056"/>
    <n v="4100.5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5036"/>
    <s v="P"/>
    <s v="Capitalized"/>
    <s v="Model R-39U Roll Off Containers c/w Bale Hook"/>
    <m/>
    <m/>
    <n v="1"/>
    <m/>
    <n v="0"/>
    <s v="Wasteline Containers Ltd."/>
    <m/>
    <s v="CONTAINERS"/>
    <s v="TBA"/>
    <m/>
    <m/>
    <m/>
    <d v="2004-03-18T00:00:00"/>
    <d v="2004-03-18T00:00:00"/>
    <n v="42149003"/>
    <n v="1200"/>
    <n v="14050"/>
    <n v="16336"/>
    <n v="14056"/>
    <n v="16336"/>
    <n v="0"/>
    <n v="0"/>
    <n v="54260"/>
    <n v="0"/>
    <s v="P"/>
    <n v="0"/>
    <m/>
    <s v=" "/>
    <s v="STL"/>
    <s v="YES"/>
    <s v="TBD"/>
    <n v="0"/>
    <x v="20"/>
    <m/>
    <m/>
    <m/>
    <m/>
    <m/>
    <m/>
    <m/>
    <m/>
    <m/>
    <m/>
    <x v="1"/>
  </r>
  <r>
    <n v="2149"/>
    <n v="25035"/>
    <s v="P"/>
    <s v="Capitalized"/>
    <s v="(36) 12 Ga. HR Sheet / (48) 48x96-5040 lb"/>
    <m/>
    <m/>
    <n v="1"/>
    <m/>
    <n v="0"/>
    <s v="Northwest Steel &amp; Pipe, I"/>
    <m/>
    <s v="LEASEHOLD IMPROVEMENTS"/>
    <s v="LEASEHOLD IMPROVEMENTS"/>
    <m/>
    <m/>
    <m/>
    <d v="2004-05-03T00:00:00"/>
    <d v="2004-05-03T00:00:00"/>
    <n v="42149006"/>
    <n v="1000"/>
    <n v="14090"/>
    <n v="2629.35"/>
    <n v="14096"/>
    <n v="2629.35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5034"/>
    <s v="P"/>
    <s v="Capitalized"/>
    <s v="(5) 10-12# WF (Steel I Beam) 240 - 1200lbs"/>
    <m/>
    <m/>
    <n v="1"/>
    <m/>
    <n v="0"/>
    <s v="Northwest Steel &amp; Pipe, I"/>
    <m/>
    <s v="LEASEHOLD IMPROVEMENTS"/>
    <s v="LEASEHOLD IMPROVEMENTS"/>
    <m/>
    <m/>
    <m/>
    <d v="2004-05-03T00:00:00"/>
    <d v="2004-05-03T00:00:00"/>
    <n v="42149006"/>
    <n v="1000"/>
    <n v="14090"/>
    <n v="557.49"/>
    <n v="14096"/>
    <n v="557.49"/>
    <n v="0"/>
    <n v="0"/>
    <n v="57260"/>
    <n v="0"/>
    <s v="P"/>
    <n v="0"/>
    <m/>
    <s v=" "/>
    <s v="STL"/>
    <s v="YES"/>
    <e v="#N/A"/>
    <e v="#N/A"/>
    <x v="21"/>
    <m/>
    <m/>
    <m/>
    <m/>
    <m/>
    <m/>
    <m/>
    <m/>
    <m/>
    <m/>
    <x v="1"/>
  </r>
  <r>
    <n v="2149"/>
    <n v="23904"/>
    <n v="23895"/>
    <s v="Capitalized"/>
    <s v="2003 Peterbilt 378 Roll Off Truck"/>
    <m/>
    <m/>
    <n v="1"/>
    <n v="432"/>
    <n v="2003"/>
    <m/>
    <m/>
    <s v="TRUCKS AND TRAILERS"/>
    <s v="TBA"/>
    <s v="Roll Off"/>
    <m/>
    <m/>
    <d v="2004-02-16T00:00:00"/>
    <d v="2004-02-16T00:00:00"/>
    <n v="42149001"/>
    <n v="1000"/>
    <n v="14040"/>
    <n v="39957.870000000003"/>
    <n v="14046"/>
    <n v="39957.870000000003"/>
    <n v="0"/>
    <n v="0"/>
    <n v="51260"/>
    <n v="0"/>
    <s v="A"/>
    <n v="0"/>
    <n v="25"/>
    <s v=" "/>
    <s v="STL"/>
    <s v="YES"/>
    <s v="TBD"/>
    <n v="0"/>
    <x v="20"/>
    <m/>
    <m/>
    <m/>
    <m/>
    <m/>
    <m/>
    <m/>
    <m/>
    <m/>
    <m/>
    <x v="1"/>
  </r>
  <r>
    <n v="2149"/>
    <n v="23895"/>
    <s v="P"/>
    <s v="Capitalized"/>
    <s v="2003 Peterbilt 378 Roll Off Truck"/>
    <m/>
    <m/>
    <n v="1"/>
    <s v="1NPFLB0XX3D807254"/>
    <n v="2003"/>
    <s v="Peterbilt 378"/>
    <s v="Cascon"/>
    <s v="TRUCKS AND TRAILERS"/>
    <s v="TBA"/>
    <s v="Roll Off"/>
    <m/>
    <m/>
    <d v="2004-02-09T00:00:00"/>
    <d v="2004-02-09T00:00:00"/>
    <n v="42149001"/>
    <n v="1000"/>
    <n v="14040"/>
    <n v="101641"/>
    <n v="14046"/>
    <n v="101641"/>
    <n v="0"/>
    <n v="0"/>
    <n v="51260"/>
    <n v="0"/>
    <s v="A"/>
    <n v="0"/>
    <n v="25"/>
    <s v=" "/>
    <s v="STL"/>
    <s v="YES"/>
    <s v="TBD"/>
    <n v="0"/>
    <x v="20"/>
    <m/>
    <m/>
    <m/>
    <m/>
    <m/>
    <m/>
    <m/>
    <m/>
    <m/>
    <m/>
    <x v="1"/>
  </r>
  <r>
    <n v="2149"/>
    <n v="23540"/>
    <s v="P"/>
    <s v="Capitalized"/>
    <s v="Air Compressor"/>
    <m/>
    <m/>
    <n v="1"/>
    <m/>
    <n v="2004"/>
    <s v="OTHER"/>
    <s v="Other"/>
    <s v="SHOP EQUIPMENT"/>
    <s v="TBA"/>
    <m/>
    <m/>
    <m/>
    <d v="2004-01-26T00:00:00"/>
    <d v="2004-01-26T00:00:00"/>
    <n v="42149012"/>
    <n v="500"/>
    <n v="14070"/>
    <n v="2057.64"/>
    <n v="14076"/>
    <n v="2057.64"/>
    <n v="0"/>
    <n v="0"/>
    <n v="51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910"/>
    <s v="P"/>
    <s v="Capitalized"/>
    <s v="Office &amp; Shop Alarm"/>
    <m/>
    <m/>
    <n v="1"/>
    <m/>
    <n v="0"/>
    <s v="ADT Security"/>
    <m/>
    <s v="BUILDINGS"/>
    <s v="TBA"/>
    <m/>
    <m/>
    <m/>
    <d v="2003-08-01T00:00:00"/>
    <d v="2003-08-01T00:00:00"/>
    <s v="03-2149-008"/>
    <n v="300"/>
    <n v="14080"/>
    <n v="895.95"/>
    <n v="14086"/>
    <n v="895.95"/>
    <n v="0"/>
    <n v="0"/>
    <n v="57260"/>
    <n v="0"/>
    <s v="P"/>
    <m/>
    <m/>
    <s v=" "/>
    <s v="STL"/>
    <s v="YES"/>
    <e v="#N/A"/>
    <e v="#N/A"/>
    <x v="21"/>
    <m/>
    <m/>
    <m/>
    <m/>
    <m/>
    <m/>
    <m/>
    <m/>
    <m/>
    <m/>
    <x v="1"/>
  </r>
  <r>
    <n v="2149"/>
    <n v="20900"/>
    <s v="P"/>
    <s v="Capitalized"/>
    <s v="1.5 Yard Rear Load Containers"/>
    <m/>
    <m/>
    <n v="17"/>
    <m/>
    <n v="0"/>
    <s v="Wasteline Containers"/>
    <m/>
    <s v="CONTAINERS"/>
    <s v="TBA"/>
    <m/>
    <s v="1.5 YD"/>
    <s v="FEL/REL/SL Metal"/>
    <d v="2003-08-01T00:00:00"/>
    <d v="2003-08-01T00:00:00"/>
    <s v="03-2149-007"/>
    <n v="500"/>
    <n v="14050"/>
    <n v="5622.5"/>
    <n v="14056"/>
    <n v="5622.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20899"/>
    <s v="P"/>
    <s v="Capitalized"/>
    <s v="2 Yard Rear Load Containers"/>
    <m/>
    <m/>
    <n v="30"/>
    <m/>
    <n v="0"/>
    <s v="Wasteline Containers"/>
    <m/>
    <s v="CONTAINERS"/>
    <s v="TBA"/>
    <m/>
    <s v="2 YD"/>
    <s v="FEL/REL/SL Metal"/>
    <d v="2003-08-01T00:00:00"/>
    <d v="2003-08-01T00:00:00"/>
    <s v="03-2149-007"/>
    <n v="500"/>
    <n v="14050"/>
    <n v="10239.5"/>
    <n v="14056"/>
    <n v="10239.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965"/>
    <s v="P"/>
    <s v="Capitalized"/>
    <s v="20 Yard Roll Off Boxes"/>
    <m/>
    <m/>
    <n v="4"/>
    <m/>
    <n v="0"/>
    <s v="Capital Industries"/>
    <m/>
    <s v="CONTAINERS"/>
    <s v="TBA"/>
    <m/>
    <s v="20 YD"/>
    <s v="RO Box"/>
    <d v="2003-05-31T00:00:00"/>
    <d v="2003-05-31T00:00:00"/>
    <s v="03-2149-003"/>
    <n v="1200"/>
    <n v="14050"/>
    <n v="10000"/>
    <n v="14056"/>
    <n v="1000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9284"/>
    <s v="P"/>
    <s v="Capitalized"/>
    <s v="Compaq EVO D310V Microtower"/>
    <m/>
    <m/>
    <n v="1"/>
    <s v="7P33LLC6B01V"/>
    <n v="0"/>
    <s v="Quest"/>
    <m/>
    <s v="HARDWARE AND SOFTWARE"/>
    <s v="TBA"/>
    <m/>
    <m/>
    <m/>
    <d v="2003-03-31T00:00:00"/>
    <d v="2003-03-31T00:00:00"/>
    <m/>
    <n v="300"/>
    <n v="14110"/>
    <n v="581.89"/>
    <n v="14116"/>
    <n v="581.89"/>
    <n v="0"/>
    <n v="0"/>
    <n v="70260"/>
    <n v="0"/>
    <s v="P"/>
    <m/>
    <m/>
    <s v=" "/>
    <s v="STL"/>
    <s v="YES"/>
    <e v="#N/A"/>
    <e v="#N/A"/>
    <x v="21"/>
    <m/>
    <m/>
    <m/>
    <m/>
    <m/>
    <m/>
    <m/>
    <m/>
    <m/>
    <m/>
    <x v="1"/>
  </r>
  <r>
    <n v="2149"/>
    <n v="18442"/>
    <s v="P"/>
    <s v="Capitalized"/>
    <s v="WCRL-2 Rear Load Containers w/ Wheels &amp; Casters"/>
    <m/>
    <m/>
    <n v="36"/>
    <m/>
    <n v="0"/>
    <s v="Wasteline Containers"/>
    <m/>
    <s v="CONTAINERS"/>
    <s v="TBA"/>
    <m/>
    <s v="2 YD"/>
    <s v="FEL/REL/SL Metal"/>
    <d v="2003-01-01T00:00:00"/>
    <d v="2003-01-01T00:00:00"/>
    <m/>
    <n v="1000"/>
    <n v="14050"/>
    <n v="12194"/>
    <n v="14056"/>
    <n v="1219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441"/>
    <s v="P"/>
    <s v="Capitalized"/>
    <s v="Lids and Swivel Casters"/>
    <m/>
    <m/>
    <n v="1"/>
    <m/>
    <n v="0"/>
    <s v="Wasteline Containers"/>
    <m/>
    <s v="CONTAINERS"/>
    <s v="TBA"/>
    <m/>
    <m/>
    <m/>
    <d v="2003-01-01T00:00:00"/>
    <d v="2003-01-01T00:00:00"/>
    <m/>
    <n v="1000"/>
    <n v="14050"/>
    <n v="1094"/>
    <n v="14056"/>
    <n v="109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440"/>
    <s v="P"/>
    <s v="Capitalized"/>
    <s v="Container Modification"/>
    <m/>
    <m/>
    <n v="1"/>
    <m/>
    <n v="0"/>
    <s v="Resarcio"/>
    <m/>
    <s v="CONTAINERS"/>
    <s v="TBA"/>
    <m/>
    <m/>
    <m/>
    <d v="2003-01-01T00:00:00"/>
    <d v="2003-01-01T00:00:00"/>
    <m/>
    <n v="1000"/>
    <n v="14050"/>
    <n v="389.88"/>
    <n v="14056"/>
    <n v="389.88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8296"/>
    <s v="P"/>
    <s v="Capitalized"/>
    <s v="Container Modification"/>
    <m/>
    <m/>
    <n v="1"/>
    <m/>
    <n v="0"/>
    <s v="Resarcio"/>
    <m/>
    <s v="CONTAINERS"/>
    <s v="TBA"/>
    <m/>
    <m/>
    <m/>
    <d v="2002-12-31T00:00:00"/>
    <d v="2002-12-31T00:00:00"/>
    <m/>
    <n v="1200"/>
    <n v="14050"/>
    <n v="689.29"/>
    <n v="14056"/>
    <n v="689.2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49"/>
    <s v="P"/>
    <s v="Capitalized"/>
    <s v="Model R-12 Roll Off Containers"/>
    <m/>
    <m/>
    <n v="3"/>
    <m/>
    <n v="0"/>
    <s v="Wasteline Containers"/>
    <m/>
    <s v="CONTAINERS"/>
    <s v="TBA"/>
    <m/>
    <s v="20 YD"/>
    <s v="RO Box"/>
    <d v="2002-09-17T00:00:00"/>
    <d v="2002-09-17T00:00:00"/>
    <m/>
    <n v="1000"/>
    <n v="14050"/>
    <n v="5827"/>
    <n v="14056"/>
    <n v="5827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148"/>
    <s v="P"/>
    <s v="Capitalized"/>
    <s v="Wleding on Containers"/>
    <m/>
    <m/>
    <n v="1"/>
    <m/>
    <n v="0"/>
    <s v="Rescario"/>
    <m/>
    <s v="CONTAINERS"/>
    <s v="TBA"/>
    <m/>
    <m/>
    <m/>
    <d v="2002-09-01T00:00:00"/>
    <d v="2002-09-01T00:00:00"/>
    <m/>
    <n v="1200"/>
    <n v="14050"/>
    <n v="3134.1"/>
    <n v="14056"/>
    <n v="3134.1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7020"/>
    <s v="P"/>
    <s v="Capitalized"/>
    <s v="LT Contract"/>
    <m/>
    <m/>
    <n v="1"/>
    <m/>
    <n v="0"/>
    <m/>
    <m/>
    <s v="INDEFINITE LIVED INTANGIBLES"/>
    <s v="INDEFINITE LIVED INTANGIBLES"/>
    <m/>
    <m/>
    <m/>
    <d v="2001-07-01T00:00:00"/>
    <d v="2002-01-01T00:00:00"/>
    <m/>
    <n v="0"/>
    <n v="15260"/>
    <n v="-29785.15"/>
    <n v="15266"/>
    <n v="0"/>
    <n v="-29785.15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7019"/>
    <s v="P"/>
    <s v="Capitalized"/>
    <s v="LT Contract"/>
    <m/>
    <m/>
    <n v="1"/>
    <m/>
    <n v="0"/>
    <m/>
    <m/>
    <s v="LONG TERM CONTRACTS"/>
    <s v="LONG TERM CONTRACTS"/>
    <m/>
    <m/>
    <m/>
    <d v="2001-07-01T00:00:00"/>
    <d v="2002-01-01T00:00:00"/>
    <m/>
    <n v="0"/>
    <n v="15250"/>
    <n v="0"/>
    <n v="15256"/>
    <n v="0"/>
    <n v="0"/>
    <n v="0"/>
    <n v="70269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6496"/>
    <s v="P"/>
    <s v="Capitalized"/>
    <s v="Welding, Prep Containers for Painting"/>
    <m/>
    <m/>
    <n v="1"/>
    <m/>
    <n v="0"/>
    <s v="Resarcio"/>
    <m/>
    <s v="CONTAINERS"/>
    <s v="TBA"/>
    <m/>
    <m/>
    <m/>
    <d v="2002-07-26T00:00:00"/>
    <d v="2002-07-26T00:00:00"/>
    <s v="02-2149-002"/>
    <n v="1000"/>
    <n v="14050"/>
    <n v="1419.82"/>
    <n v="14056"/>
    <n v="1419.82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5429"/>
    <s v="P"/>
    <s v="Capitalized"/>
    <s v="Paint for Containers"/>
    <m/>
    <m/>
    <n v="1"/>
    <m/>
    <n v="0"/>
    <s v="Commercial Brake &amp; Clutch"/>
    <m/>
    <s v="CONTAINERS"/>
    <s v="TBA"/>
    <m/>
    <m/>
    <m/>
    <d v="2002-06-01T00:00:00"/>
    <d v="2002-06-01T00:00:00"/>
    <s v="02-2149-002"/>
    <n v="1000"/>
    <n v="14050"/>
    <n v="212.14"/>
    <n v="14056"/>
    <n v="212.1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5428"/>
    <s v="P"/>
    <s v="Capitalized"/>
    <s v="Container Lids"/>
    <m/>
    <m/>
    <n v="15"/>
    <m/>
    <n v="0"/>
    <s v="Capital Industries"/>
    <m/>
    <s v="CONTAINERS"/>
    <s v="TBA"/>
    <m/>
    <m/>
    <m/>
    <d v="2002-05-14T00:00:00"/>
    <d v="2002-05-14T00:00:00"/>
    <s v="02-2149-002"/>
    <n v="1000"/>
    <n v="14050"/>
    <n v="848.64"/>
    <n v="14056"/>
    <n v="848.6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5427"/>
    <s v="P"/>
    <s v="Capitalized"/>
    <s v="Container Parts"/>
    <m/>
    <m/>
    <n v="1"/>
    <m/>
    <n v="0"/>
    <s v="Wasteline Containers"/>
    <m/>
    <s v="CONTAINERS"/>
    <s v="TBA"/>
    <m/>
    <m/>
    <m/>
    <d v="2002-06-04T00:00:00"/>
    <d v="2002-06-04T00:00:00"/>
    <s v="02-2149-002"/>
    <n v="1000"/>
    <n v="14050"/>
    <n v="1019"/>
    <n v="14056"/>
    <n v="1019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5425"/>
    <s v="P"/>
    <s v="Capitalized"/>
    <s v="20 Yd Open Top Containers"/>
    <m/>
    <m/>
    <n v="7"/>
    <m/>
    <n v="0"/>
    <s v="Wasteline Containers"/>
    <m/>
    <s v="CONTAINERS"/>
    <s v="TBA"/>
    <m/>
    <s v="20 YD"/>
    <s v="RO Box"/>
    <d v="2002-07-01T00:00:00"/>
    <d v="2002-07-01T00:00:00"/>
    <m/>
    <n v="1000"/>
    <n v="14050"/>
    <n v="16327.75"/>
    <n v="14056"/>
    <n v="16327.75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5037"/>
    <s v="P"/>
    <s v="Capitalized"/>
    <s v="Final True Up - Mason County"/>
    <m/>
    <m/>
    <n v="1"/>
    <m/>
    <n v="0"/>
    <m/>
    <m/>
    <s v="INDEFINITE LIVED INTANGIBLES"/>
    <s v="INDEFINITE LIVED INTANGIBLES"/>
    <m/>
    <m/>
    <m/>
    <d v="2002-06-01T00:00:00"/>
    <d v="2002-06-01T00:00:00"/>
    <m/>
    <n v="0"/>
    <n v="15260"/>
    <n v="53448.39"/>
    <n v="15266"/>
    <n v="0"/>
    <n v="53448.39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5006"/>
    <s v="P"/>
    <s v="Capitalized"/>
    <s v="Prep &amp; Paint 30 Containers"/>
    <m/>
    <m/>
    <n v="1"/>
    <m/>
    <n v="0"/>
    <m/>
    <m/>
    <s v="CONTAINERS"/>
    <s v="TBA"/>
    <m/>
    <m/>
    <m/>
    <d v="2002-05-01T00:00:00"/>
    <d v="2002-05-01T00:00:00"/>
    <s v="02-2149-002"/>
    <n v="1000"/>
    <n v="14050"/>
    <n v="1690.24"/>
    <n v="14056"/>
    <n v="1690.24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4849"/>
    <s v="P"/>
    <s v="Capitalized"/>
    <s v="Michael Johnson Payment"/>
    <m/>
    <m/>
    <n v="1"/>
    <m/>
    <n v="0"/>
    <m/>
    <m/>
    <s v="INDEFINITE LIVED INTANGIBLES"/>
    <s v="INDEFINITE LIVED INTANGIBLES"/>
    <m/>
    <m/>
    <m/>
    <d v="2002-05-01T00:00:00"/>
    <d v="2002-05-01T00:00:00"/>
    <m/>
    <n v="0"/>
    <n v="15260"/>
    <n v="109082.62"/>
    <n v="15266"/>
    <n v="0"/>
    <n v="109082.62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3063"/>
    <s v="P"/>
    <s v="Capitalized"/>
    <s v="Deferred Tax Adjustment"/>
    <m/>
    <m/>
    <n v="1"/>
    <m/>
    <n v="0"/>
    <m/>
    <m/>
    <s v="INDEFINITE LIVED INTANGIBLES"/>
    <s v="INDEFINITE LIVED INTANGIBLES"/>
    <m/>
    <m/>
    <m/>
    <d v="2001-12-31T00:00:00"/>
    <d v="2001-12-31T00:00:00"/>
    <m/>
    <n v="0"/>
    <n v="15260"/>
    <n v="-74100"/>
    <n v="15266"/>
    <n v="0"/>
    <n v="-74100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3035"/>
    <s v="P"/>
    <s v="Capitalized"/>
    <s v="20 Yd Containers w/ Lids"/>
    <m/>
    <m/>
    <n v="3"/>
    <m/>
    <n v="0"/>
    <s v="Cascon"/>
    <m/>
    <s v="CONTAINERS"/>
    <s v="TBA"/>
    <m/>
    <s v="20 YD"/>
    <s v="RO Box"/>
    <d v="2002-01-07T00:00:00"/>
    <d v="2002-01-07T00:00:00"/>
    <s v="02-2149-004"/>
    <n v="1200"/>
    <n v="14050"/>
    <n v="8598.2999999999993"/>
    <n v="14056"/>
    <n v="8598.2999999999993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2690"/>
    <s v="P"/>
    <s v="Capitalized"/>
    <s v="Deferred Acquisition Costs"/>
    <m/>
    <m/>
    <n v="1"/>
    <m/>
    <n v="0"/>
    <m/>
    <m/>
    <s v="INDEFINITE LIVED INTANGIBLES"/>
    <s v="INDEFINITE LIVED INTANGIBLES"/>
    <m/>
    <m/>
    <m/>
    <d v="2001-12-31T00:00:00"/>
    <d v="2001-12-31T00:00:00"/>
    <m/>
    <n v="0"/>
    <n v="15260"/>
    <n v="300000"/>
    <n v="15266"/>
    <n v="0"/>
    <n v="300000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2320"/>
    <s v="P"/>
    <s v="Capitalized"/>
    <s v="Fleet Upgrade"/>
    <m/>
    <m/>
    <n v="1"/>
    <m/>
    <n v="0"/>
    <m/>
    <m/>
    <s v="TRUCKS AND TRAILERS"/>
    <s v="TBA"/>
    <s v="Non-Rolling Stock"/>
    <m/>
    <m/>
    <d v="2001-11-30T00:00:00"/>
    <d v="2001-11-30T00:00:00"/>
    <m/>
    <n v="500"/>
    <n v="14040"/>
    <n v="21559.18"/>
    <n v="14046"/>
    <n v="21559.18"/>
    <n v="0"/>
    <n v="0"/>
    <n v="51260"/>
    <n v="0"/>
    <s v="P"/>
    <m/>
    <m/>
    <s v=" "/>
    <s v="STL"/>
    <s v="YES"/>
    <e v="#N/A"/>
    <e v="#N/A"/>
    <x v="21"/>
    <m/>
    <m/>
    <m/>
    <m/>
    <m/>
    <m/>
    <m/>
    <m/>
    <m/>
    <m/>
    <x v="1"/>
  </r>
  <r>
    <n v="2149"/>
    <n v="12167"/>
    <s v="P"/>
    <s v="Capitalized"/>
    <s v="1999 Cascon Trailor (Roll Off)"/>
    <m/>
    <m/>
    <n v="1"/>
    <s v="1C9RS2224XR337005"/>
    <n v="1999"/>
    <s v="CASON"/>
    <s v="CASCON"/>
    <s v="TRUCKS AND TRAILERS"/>
    <s v="TBA"/>
    <s v="Roll Off Trailer"/>
    <m/>
    <m/>
    <d v="2001-08-15T00:00:00"/>
    <d v="2001-08-15T00:00:00"/>
    <m/>
    <n v="1000"/>
    <n v="14040"/>
    <n v="0"/>
    <n v="14046"/>
    <n v="0"/>
    <n v="0"/>
    <n v="0"/>
    <n v="51260"/>
    <n v="0"/>
    <s v="A"/>
    <s v="Mason County"/>
    <n v="8007"/>
    <s v=" "/>
    <s v="STL"/>
    <s v="YES"/>
    <s v="TBD"/>
    <n v="0"/>
    <x v="20"/>
    <m/>
    <m/>
    <m/>
    <m/>
    <m/>
    <m/>
    <m/>
    <m/>
    <m/>
    <m/>
    <x v="1"/>
  </r>
  <r>
    <n v="2149"/>
    <n v="11695"/>
    <s v="P"/>
    <s v="Capitalized"/>
    <s v="Fleet Upgrades"/>
    <m/>
    <m/>
    <n v="1"/>
    <m/>
    <n v="0"/>
    <m/>
    <m/>
    <s v="TRUCKS AND TRAILERS"/>
    <s v="TBA"/>
    <s v="Non-Rolling Stock"/>
    <m/>
    <m/>
    <d v="2001-10-01T00:00:00"/>
    <d v="2001-10-01T00:00:00"/>
    <m/>
    <n v="600"/>
    <n v="14040"/>
    <n v="4711.51"/>
    <n v="14046"/>
    <n v="4711.51"/>
    <n v="0"/>
    <n v="0"/>
    <n v="51260"/>
    <n v="0"/>
    <s v="P"/>
    <m/>
    <m/>
    <s v=" "/>
    <s v="STL"/>
    <s v="YES"/>
    <e v="#N/A"/>
    <e v="#N/A"/>
    <x v="21"/>
    <m/>
    <m/>
    <m/>
    <m/>
    <m/>
    <m/>
    <m/>
    <m/>
    <m/>
    <m/>
    <x v="1"/>
  </r>
  <r>
    <n v="2149"/>
    <n v="11654"/>
    <s v="P"/>
    <s v="Capitalized"/>
    <s v="2 YD Containers"/>
    <m/>
    <m/>
    <n v="18"/>
    <m/>
    <n v="0"/>
    <m/>
    <m/>
    <s v="CONTAINERS"/>
    <s v="TBA"/>
    <m/>
    <s v="2 YD"/>
    <s v="FEL/REL/SL Metal"/>
    <d v="2001-09-01T00:00:00"/>
    <d v="2001-09-01T00:00:00"/>
    <s v="01-2149-004"/>
    <n v="700"/>
    <n v="14050"/>
    <n v="6210"/>
    <n v="14056"/>
    <n v="6210"/>
    <n v="0"/>
    <n v="0"/>
    <n v="54260"/>
    <n v="0"/>
    <s v="P"/>
    <m/>
    <m/>
    <s v=" "/>
    <s v="STL"/>
    <s v="YES"/>
    <s v="TBD"/>
    <n v="0"/>
    <x v="20"/>
    <m/>
    <m/>
    <m/>
    <m/>
    <m/>
    <m/>
    <m/>
    <m/>
    <m/>
    <m/>
    <x v="1"/>
  </r>
  <r>
    <n v="2149"/>
    <n v="11629"/>
    <s v="P"/>
    <s v="Capitalized"/>
    <s v="Bad Debt Reserve - Mason County"/>
    <m/>
    <m/>
    <n v="1"/>
    <m/>
    <n v="0"/>
    <m/>
    <m/>
    <s v="INDEFINITE LIVED INTANGIBLES"/>
    <s v="INDEFINITE LIVED INTANGIBLES"/>
    <m/>
    <m/>
    <m/>
    <d v="2001-07-01T00:00:00"/>
    <d v="2001-07-01T00:00:00"/>
    <m/>
    <n v="0"/>
    <n v="15260"/>
    <n v="11500"/>
    <n v="15266"/>
    <n v="0"/>
    <n v="11500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1483"/>
    <s v="P"/>
    <s v="Capitalized"/>
    <s v="Asset Valuation Adjustment Mason County"/>
    <m/>
    <m/>
    <n v="1"/>
    <m/>
    <n v="0"/>
    <m/>
    <m/>
    <s v="INDEFINITE LIVED INTANGIBLES"/>
    <s v="INDEFINITE LIVED INTANGIBLES"/>
    <m/>
    <m/>
    <m/>
    <d v="2001-07-01T00:00:00"/>
    <d v="2001-07-01T00:00:00"/>
    <m/>
    <n v="0"/>
    <n v="15260"/>
    <n v="15880"/>
    <n v="15266"/>
    <n v="0"/>
    <n v="15880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1482"/>
    <s v="P"/>
    <s v="Capitalized"/>
    <s v="40 YD Roll Off Containers"/>
    <m/>
    <m/>
    <n v="11"/>
    <m/>
    <n v="0"/>
    <m/>
    <m/>
    <s v="CONTAINERS"/>
    <s v="TBA"/>
    <m/>
    <s v="40 YD"/>
    <s v="RO Box"/>
    <d v="2001-07-01T00:00:00"/>
    <d v="2001-07-01T00:00:00"/>
    <m/>
    <n v="600"/>
    <n v="14050"/>
    <n v="9533"/>
    <n v="14056"/>
    <n v="9533"/>
    <n v="0"/>
    <n v="0"/>
    <n v="54260"/>
    <n v="0"/>
    <s v="A"/>
    <s v="Mason County"/>
    <s v="NA"/>
    <s v=" "/>
    <s v="STL"/>
    <s v="YES"/>
    <s v="TBD"/>
    <n v="0"/>
    <x v="20"/>
    <m/>
    <m/>
    <m/>
    <m/>
    <m/>
    <m/>
    <m/>
    <m/>
    <m/>
    <m/>
    <x v="1"/>
  </r>
  <r>
    <n v="2149"/>
    <n v="11479"/>
    <s v="P"/>
    <s v="Capitalized"/>
    <s v="2 Yard REL Containers"/>
    <m/>
    <m/>
    <n v="186"/>
    <m/>
    <n v="0"/>
    <m/>
    <m/>
    <s v="CONTAINERS"/>
    <s v="TBA"/>
    <m/>
    <s v="2 YD"/>
    <s v="FEL/REL/SL Metal"/>
    <d v="2001-07-01T00:00:00"/>
    <d v="2001-07-01T00:00:00"/>
    <m/>
    <n v="600"/>
    <n v="14050"/>
    <n v="11818.01"/>
    <n v="14056"/>
    <n v="11818.01"/>
    <n v="0"/>
    <n v="0"/>
    <n v="54260"/>
    <n v="0"/>
    <s v="A"/>
    <s v="Mason County"/>
    <s v="NA"/>
    <s v=" "/>
    <s v="STL"/>
    <s v="YES"/>
    <s v="TBD"/>
    <n v="0"/>
    <x v="20"/>
    <m/>
    <m/>
    <m/>
    <m/>
    <m/>
    <m/>
    <m/>
    <m/>
    <m/>
    <m/>
    <x v="1"/>
  </r>
  <r>
    <n v="2149"/>
    <n v="11478"/>
    <s v="P"/>
    <s v="Capitalized"/>
    <s v="1.5 Yard REL Containers"/>
    <m/>
    <m/>
    <n v="30"/>
    <m/>
    <n v="0"/>
    <m/>
    <m/>
    <s v="CONTAINERS"/>
    <s v="TBA"/>
    <m/>
    <s v="1.5 YD"/>
    <s v="FEL/REL/SL Metal"/>
    <d v="2001-07-01T00:00:00"/>
    <d v="2001-07-01T00:00:00"/>
    <m/>
    <n v="600"/>
    <n v="14050"/>
    <n v="1950.13"/>
    <n v="14056"/>
    <n v="1950.13"/>
    <n v="0"/>
    <n v="0"/>
    <n v="54260"/>
    <n v="0"/>
    <s v="A"/>
    <s v="Mason County"/>
    <s v="NA"/>
    <s v=" "/>
    <s v="STL"/>
    <s v="YES"/>
    <s v="TBD"/>
    <n v="0"/>
    <x v="20"/>
    <m/>
    <m/>
    <m/>
    <m/>
    <m/>
    <m/>
    <m/>
    <m/>
    <m/>
    <m/>
    <x v="1"/>
  </r>
  <r>
    <n v="2149"/>
    <n v="11472"/>
    <s v="P"/>
    <s v="Capitalized"/>
    <s v="1991 Burch Trailer"/>
    <m/>
    <m/>
    <n v="1"/>
    <s v="139AP2427M1131005"/>
    <n v="1991"/>
    <s v="Burch"/>
    <s v="Burch"/>
    <s v="TRUCKS AND TRAILERS"/>
    <s v="TBA"/>
    <s v="Recycle Trailer"/>
    <m/>
    <m/>
    <d v="2001-07-01T00:00:00"/>
    <d v="2001-07-01T00:00:00"/>
    <m/>
    <n v="600"/>
    <n v="14040"/>
    <n v="0"/>
    <n v="14046"/>
    <n v="0"/>
    <n v="0"/>
    <n v="0"/>
    <n v="51260"/>
    <n v="0"/>
    <s v="A"/>
    <s v="Mason County"/>
    <n v="8006"/>
    <s v=" "/>
    <s v="STL"/>
    <s v="YES"/>
    <s v="TBD"/>
    <n v="0"/>
    <x v="20"/>
    <m/>
    <m/>
    <m/>
    <m/>
    <m/>
    <m/>
    <m/>
    <m/>
    <m/>
    <m/>
    <x v="1"/>
  </r>
  <r>
    <n v="2149"/>
    <n v="11417"/>
    <s v="P"/>
    <s v="Capitalized"/>
    <s v="Mason County - Non Compete"/>
    <m/>
    <m/>
    <n v="1"/>
    <m/>
    <n v="0"/>
    <m/>
    <m/>
    <s v="NON COMPETE"/>
    <s v="NON COMPETE"/>
    <m/>
    <m/>
    <m/>
    <d v="2001-07-01T00:00:00"/>
    <d v="2001-07-01T00:00:00"/>
    <m/>
    <n v="500"/>
    <n v="15210"/>
    <n v="30000"/>
    <n v="15216"/>
    <n v="30000"/>
    <n v="0"/>
    <n v="0"/>
    <n v="70264"/>
    <n v="0"/>
    <s v="A"/>
    <s v="Mason County"/>
    <s v="NA"/>
    <s v=" "/>
    <s v="STL"/>
    <s v="YES"/>
    <e v="#N/A"/>
    <e v="#N/A"/>
    <x v="21"/>
    <m/>
    <m/>
    <m/>
    <m/>
    <m/>
    <m/>
    <m/>
    <m/>
    <m/>
    <m/>
    <x v="1"/>
  </r>
  <r>
    <n v="2149"/>
    <n v="11416"/>
    <s v="P"/>
    <s v="Capitalized"/>
    <s v="Mason County - M Johnson Salary"/>
    <m/>
    <m/>
    <n v="1"/>
    <m/>
    <n v="0"/>
    <m/>
    <m/>
    <s v="INDEFINITE LIVED INTANGIBLES"/>
    <s v="INDEFINITE LIVED INTANGIBLES"/>
    <m/>
    <m/>
    <m/>
    <d v="2001-07-01T00:00:00"/>
    <d v="2001-07-01T00:00:00"/>
    <m/>
    <n v="0"/>
    <n v="15260"/>
    <n v="18087.349999999999"/>
    <n v="15266"/>
    <n v="0"/>
    <n v="18087.349999999999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1415"/>
    <s v="P"/>
    <s v="Capitalized"/>
    <s v="Mason County - Opening Entry"/>
    <m/>
    <m/>
    <n v="1"/>
    <m/>
    <n v="0"/>
    <m/>
    <m/>
    <s v="INDEFINITE LIVED INTANGIBLES"/>
    <s v="INDEFINITE LIVED INTANGIBLES"/>
    <m/>
    <m/>
    <m/>
    <d v="2001-07-01T00:00:00"/>
    <d v="2001-07-01T00:00:00"/>
    <m/>
    <n v="0"/>
    <n v="15260"/>
    <n v="-37619.61"/>
    <n v="15266"/>
    <n v="0"/>
    <n v="-37619.61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  <r>
    <n v="2149"/>
    <n v="11414"/>
    <s v="P"/>
    <s v="Capitalized"/>
    <s v="Mason County - Goodwill"/>
    <m/>
    <m/>
    <n v="1"/>
    <m/>
    <n v="0"/>
    <m/>
    <m/>
    <s v="INDEFINITE LIVED INTANGIBLES"/>
    <s v="INDEFINITE LIVED INTANGIBLES"/>
    <m/>
    <m/>
    <m/>
    <d v="2001-07-01T00:00:00"/>
    <d v="2001-07-01T00:00:00"/>
    <m/>
    <n v="0"/>
    <n v="15260"/>
    <n v="5960838.7800000003"/>
    <n v="15266"/>
    <n v="0"/>
    <n v="5960838.7800000003"/>
    <n v="0"/>
    <n v="70264"/>
    <n v="0"/>
    <s v="A"/>
    <s v="Mason County"/>
    <s v="NA"/>
    <s v=" "/>
    <s v="STL"/>
    <s v="NO"/>
    <e v="#N/A"/>
    <e v="#N/A"/>
    <x v="21"/>
    <m/>
    <m/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212BEB-597E-4B17-99F6-813A1A1CF5CE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4:F25" firstHeaderRow="0" firstDataRow="1" firstDataCol="1" rowPageCount="1" colPageCount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76" showAll="0"/>
    <pivotField showAll="0"/>
    <pivotField showAll="0"/>
    <pivotField showAll="0"/>
    <pivotField dataField="1" numFmtId="44" showAll="0"/>
    <pivotField showAll="0"/>
    <pivotField numFmtId="44" showAll="0"/>
    <pivotField numFmtId="43" showAll="0"/>
    <pivotField numFmtId="44" showAll="0"/>
    <pivotField showAll="0"/>
    <pivotField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8"/>
        <item x="8"/>
        <item x="7"/>
        <item x="2"/>
        <item x="4"/>
        <item x="16"/>
        <item x="19"/>
        <item x="14"/>
        <item x="15"/>
        <item x="11"/>
        <item x="5"/>
        <item x="9"/>
        <item x="12"/>
        <item x="13"/>
        <item x="17"/>
        <item x="6"/>
        <item x="10"/>
        <item x="3"/>
        <item x="20"/>
        <item x="21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axis="axisPage" multipleItemSelectionAllowed="1" showAll="0">
      <items count="3">
        <item x="0"/>
        <item h="1" x="1"/>
        <item t="default"/>
      </items>
    </pivotField>
  </pivotFields>
  <rowFields count="1">
    <field x="37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8" hier="-1"/>
  </pageFields>
  <dataFields count="5">
    <dataField name="Sum of Asset Cost" fld="22" baseField="0" baseItem="0"/>
    <dataField name="Sum of Test Year Dep" fld="44" baseField="0" baseItem="0"/>
    <dataField name="Sum of BOY Accum" fld="45" baseField="0" baseItem="0"/>
    <dataField name="Sum of EOY Accum" fld="46" baseField="0" baseItem="0"/>
    <dataField name="Sum of EOY Average Investment" fld="47" baseField="0" baseItem="0"/>
  </dataFields>
  <formats count="2"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image" Target="../media/image5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I80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G22" sqref="G22"/>
    </sheetView>
  </sheetViews>
  <sheetFormatPr defaultColWidth="11.42578125" defaultRowHeight="12" outlineLevelCol="1"/>
  <cols>
    <col min="1" max="1" width="35.7109375" style="15" customWidth="1"/>
    <col min="2" max="8" width="14.28515625" style="15" customWidth="1"/>
    <col min="9" max="9" width="11.42578125" style="15"/>
    <col min="10" max="10" width="31.140625" style="15" bestFit="1" customWidth="1"/>
    <col min="11" max="11" width="12.42578125" style="15" bestFit="1" customWidth="1"/>
    <col min="12" max="12" width="11.42578125" style="15"/>
    <col min="13" max="13" width="12.42578125" style="15" bestFit="1" customWidth="1"/>
    <col min="14" max="15" width="11.42578125" style="15"/>
    <col min="16" max="16" width="12.140625" style="15" bestFit="1" customWidth="1"/>
    <col min="17" max="17" width="12.42578125" style="15" bestFit="1" customWidth="1"/>
    <col min="18" max="18" width="11.42578125" style="15" customWidth="1" outlineLevel="1"/>
    <col min="19" max="19" width="31.140625" style="15" customWidth="1" outlineLevel="1"/>
    <col min="20" max="20" width="12.140625" style="15" customWidth="1" outlineLevel="1"/>
    <col min="21" max="21" width="11.42578125" style="15" customWidth="1" outlineLevel="1"/>
    <col min="22" max="22" width="12.140625" style="15" customWidth="1" outlineLevel="1"/>
    <col min="23" max="26" width="11.42578125" style="15" customWidth="1" outlineLevel="1"/>
    <col min="27" max="27" width="11.42578125" style="15"/>
    <col min="28" max="28" width="31.140625" style="15" bestFit="1" customWidth="1"/>
    <col min="29" max="29" width="17.28515625" style="15" customWidth="1"/>
    <col min="30" max="30" width="11.42578125" style="15"/>
    <col min="31" max="31" width="22.28515625" style="15" customWidth="1"/>
    <col min="32" max="32" width="12.140625" style="15" bestFit="1" customWidth="1"/>
    <col min="33" max="34" width="13.5703125" style="15" customWidth="1"/>
    <col min="35" max="35" width="13.42578125" style="15" customWidth="1"/>
    <col min="36" max="16384" width="11.42578125" style="15"/>
  </cols>
  <sheetData>
    <row r="1" spans="1:35">
      <c r="A1" s="16" t="s">
        <v>0</v>
      </c>
    </row>
    <row r="2" spans="1:35">
      <c r="A2" s="16" t="s">
        <v>1</v>
      </c>
    </row>
    <row r="3" spans="1:35" ht="12.75" thickBot="1">
      <c r="A3" s="16"/>
    </row>
    <row r="4" spans="1:35" ht="18.75">
      <c r="A4" s="105" t="s">
        <v>1580</v>
      </c>
      <c r="B4" s="106"/>
      <c r="C4" s="106"/>
      <c r="D4" s="106"/>
      <c r="E4" s="106"/>
      <c r="F4" s="106"/>
      <c r="G4" s="106"/>
      <c r="H4" s="107"/>
      <c r="J4" s="105" t="s">
        <v>658</v>
      </c>
      <c r="K4" s="106"/>
      <c r="L4" s="106"/>
      <c r="M4" s="106"/>
      <c r="N4" s="106"/>
      <c r="O4" s="106"/>
      <c r="P4" s="106"/>
      <c r="Q4" s="107"/>
      <c r="S4" s="105" t="s">
        <v>1494</v>
      </c>
      <c r="T4" s="106"/>
      <c r="U4" s="106"/>
      <c r="V4" s="106"/>
      <c r="W4" s="106"/>
      <c r="X4" s="106"/>
      <c r="Y4" s="106"/>
      <c r="Z4" s="107"/>
      <c r="AB4" s="105" t="s">
        <v>661</v>
      </c>
      <c r="AC4" s="106"/>
      <c r="AD4" s="106"/>
      <c r="AE4" s="106"/>
      <c r="AF4" s="106"/>
      <c r="AG4" s="106"/>
      <c r="AH4" s="106"/>
      <c r="AI4" s="107"/>
    </row>
    <row r="5" spans="1:35" ht="12.75">
      <c r="A5" s="57"/>
      <c r="B5" s="29"/>
      <c r="C5" s="29"/>
      <c r="D5" s="29"/>
      <c r="E5" s="29"/>
      <c r="F5" s="30" t="s">
        <v>3</v>
      </c>
      <c r="G5" s="30" t="s">
        <v>4</v>
      </c>
      <c r="H5" s="58" t="s">
        <v>5</v>
      </c>
      <c r="J5" s="57"/>
      <c r="K5" s="29"/>
      <c r="L5" s="29"/>
      <c r="M5" s="29"/>
      <c r="N5" s="29"/>
      <c r="O5" s="30" t="s">
        <v>3</v>
      </c>
      <c r="P5" s="30" t="s">
        <v>4</v>
      </c>
      <c r="Q5" s="58" t="s">
        <v>5</v>
      </c>
      <c r="S5" s="57"/>
      <c r="T5" s="29"/>
      <c r="U5" s="29"/>
      <c r="V5" s="29"/>
      <c r="W5" s="29"/>
      <c r="X5" s="30" t="s">
        <v>3</v>
      </c>
      <c r="Y5" s="30" t="s">
        <v>4</v>
      </c>
      <c r="Z5" s="58" t="s">
        <v>5</v>
      </c>
      <c r="AB5" s="57"/>
      <c r="AC5" s="29"/>
      <c r="AD5" s="29"/>
      <c r="AE5" s="29"/>
      <c r="AF5" s="29"/>
      <c r="AG5" s="30" t="s">
        <v>3</v>
      </c>
      <c r="AH5" s="30" t="s">
        <v>4</v>
      </c>
      <c r="AI5" s="58" t="s">
        <v>5</v>
      </c>
    </row>
    <row r="6" spans="1:35" ht="12.75">
      <c r="A6" s="59" t="s">
        <v>518</v>
      </c>
      <c r="B6" s="31" t="s">
        <v>8</v>
      </c>
      <c r="C6" s="31" t="s">
        <v>9</v>
      </c>
      <c r="D6" s="31" t="s">
        <v>10</v>
      </c>
      <c r="E6" s="31" t="s">
        <v>11</v>
      </c>
      <c r="F6" s="31" t="s">
        <v>6</v>
      </c>
      <c r="G6" s="31" t="s">
        <v>6</v>
      </c>
      <c r="H6" s="60" t="s">
        <v>7</v>
      </c>
      <c r="J6" s="59" t="s">
        <v>518</v>
      </c>
      <c r="K6" s="31" t="s">
        <v>8</v>
      </c>
      <c r="L6" s="31" t="s">
        <v>9</v>
      </c>
      <c r="M6" s="31" t="s">
        <v>10</v>
      </c>
      <c r="N6" s="31" t="s">
        <v>11</v>
      </c>
      <c r="O6" s="31" t="s">
        <v>6</v>
      </c>
      <c r="P6" s="31" t="s">
        <v>6</v>
      </c>
      <c r="Q6" s="60" t="s">
        <v>7</v>
      </c>
      <c r="S6" s="59" t="s">
        <v>518</v>
      </c>
      <c r="T6" s="31" t="s">
        <v>8</v>
      </c>
      <c r="U6" s="31" t="s">
        <v>9</v>
      </c>
      <c r="V6" s="31" t="s">
        <v>10</v>
      </c>
      <c r="W6" s="31" t="s">
        <v>11</v>
      </c>
      <c r="X6" s="31" t="s">
        <v>6</v>
      </c>
      <c r="Y6" s="31" t="s">
        <v>6</v>
      </c>
      <c r="Z6" s="60" t="s">
        <v>7</v>
      </c>
      <c r="AB6" s="59" t="s">
        <v>518</v>
      </c>
      <c r="AC6" s="31" t="s">
        <v>8</v>
      </c>
      <c r="AD6" s="31" t="s">
        <v>9</v>
      </c>
      <c r="AE6" s="31" t="s">
        <v>10</v>
      </c>
      <c r="AF6" s="31" t="s">
        <v>11</v>
      </c>
      <c r="AG6" s="31" t="s">
        <v>6</v>
      </c>
      <c r="AH6" s="31" t="s">
        <v>6</v>
      </c>
      <c r="AI6" s="60" t="s">
        <v>7</v>
      </c>
    </row>
    <row r="7" spans="1:35" ht="12.75">
      <c r="A7" s="61"/>
      <c r="B7" s="32"/>
      <c r="C7" s="32"/>
      <c r="D7" s="32"/>
      <c r="E7" s="32"/>
      <c r="F7" s="108">
        <v>44986</v>
      </c>
      <c r="G7" s="108">
        <v>45351</v>
      </c>
      <c r="H7" s="81">
        <f>+G7</f>
        <v>45351</v>
      </c>
      <c r="J7" s="61"/>
      <c r="K7" s="32"/>
      <c r="L7" s="32"/>
      <c r="M7" s="32"/>
      <c r="N7" s="32"/>
      <c r="O7" s="80">
        <f>F7</f>
        <v>44986</v>
      </c>
      <c r="P7" s="80">
        <f>G7</f>
        <v>45351</v>
      </c>
      <c r="Q7" s="81">
        <f>+P7</f>
        <v>45351</v>
      </c>
      <c r="S7" s="61"/>
      <c r="T7" s="32"/>
      <c r="U7" s="32"/>
      <c r="V7" s="32"/>
      <c r="W7" s="32"/>
      <c r="X7" s="80">
        <f>F7</f>
        <v>44986</v>
      </c>
      <c r="Y7" s="80">
        <f>G7</f>
        <v>45351</v>
      </c>
      <c r="Z7" s="81">
        <f>+Y7</f>
        <v>45351</v>
      </c>
      <c r="AB7" s="61"/>
      <c r="AC7" s="32"/>
      <c r="AD7" s="32"/>
      <c r="AE7" s="32"/>
      <c r="AF7" s="32"/>
      <c r="AG7" s="80">
        <f>F7</f>
        <v>44986</v>
      </c>
      <c r="AH7" s="80">
        <f>G7</f>
        <v>45351</v>
      </c>
      <c r="AI7" s="81">
        <f>+AH7</f>
        <v>45351</v>
      </c>
    </row>
    <row r="8" spans="1:35">
      <c r="A8" s="62"/>
      <c r="B8" s="22"/>
      <c r="C8" s="22"/>
      <c r="D8" s="22"/>
      <c r="E8" s="22"/>
      <c r="F8" s="56"/>
      <c r="G8" s="56"/>
      <c r="H8" s="63"/>
      <c r="J8" s="62"/>
      <c r="K8" s="22"/>
      <c r="L8" s="22"/>
      <c r="M8" s="22"/>
      <c r="N8" s="22"/>
      <c r="O8" s="56"/>
      <c r="P8" s="56"/>
      <c r="Q8" s="63"/>
      <c r="S8" s="62"/>
      <c r="T8" s="22"/>
      <c r="U8" s="22"/>
      <c r="V8" s="22"/>
      <c r="W8" s="22"/>
      <c r="X8" s="56"/>
      <c r="Y8" s="56"/>
      <c r="Z8" s="63"/>
      <c r="AB8" s="62"/>
      <c r="AC8" s="22"/>
      <c r="AD8" s="22"/>
      <c r="AE8" s="22"/>
      <c r="AF8" s="22"/>
      <c r="AG8" s="56"/>
      <c r="AH8" s="56"/>
      <c r="AI8" s="63"/>
    </row>
    <row r="9" spans="1:35" ht="15">
      <c r="A9" s="64" t="s">
        <v>1569</v>
      </c>
      <c r="B9" s="20">
        <f>Depreciation!M37</f>
        <v>2634719.8535897429</v>
      </c>
      <c r="C9" s="20">
        <f>B9-D9</f>
        <v>0</v>
      </c>
      <c r="D9" s="20">
        <f>Depreciation!N37</f>
        <v>2634719.8535897429</v>
      </c>
      <c r="E9" s="20">
        <f>Depreciation!Q37</f>
        <v>178978.64</v>
      </c>
      <c r="F9" s="20">
        <f>Depreciation!S37</f>
        <v>1467733.909173077</v>
      </c>
      <c r="G9" s="20">
        <f>Depreciation!T37</f>
        <v>1671751.2793397433</v>
      </c>
      <c r="H9" s="65">
        <f>Depreciation!U37</f>
        <v>962968.57424999971</v>
      </c>
      <c r="J9" s="64" t="s">
        <v>1569</v>
      </c>
      <c r="K9" s="20">
        <f>IFERROR(VLOOKUP(J9,'FAR Dep Summary'!$A$31:$F$50,2,FALSE),0)</f>
        <v>477701.69999999995</v>
      </c>
      <c r="L9" s="20">
        <f>K9-M9</f>
        <v>0</v>
      </c>
      <c r="M9" s="20">
        <f>K9</f>
        <v>477701.69999999995</v>
      </c>
      <c r="N9" s="20">
        <f>IFERROR(VLOOKUP($J9,'FAR Dep Summary'!$A$31:$F$50,3,FALSE),0)</f>
        <v>57010.396333333338</v>
      </c>
      <c r="O9" s="20">
        <f>IFERROR(VLOOKUP($J9,'FAR Dep Summary'!$A$31:$F$50,4,FALSE),0)</f>
        <v>17600.431111110109</v>
      </c>
      <c r="P9" s="20">
        <f>IFERROR(VLOOKUP($J9,'FAR Dep Summary'!$A$31:$F$50,5,FALSE),0)</f>
        <v>74610.82744444345</v>
      </c>
      <c r="Q9" s="65">
        <f>IFERROR(VLOOKUP($J9,'FAR Dep Summary'!$A$31:$F$50,6,FALSE),0)</f>
        <v>403090.87255555659</v>
      </c>
      <c r="S9" s="64" t="s">
        <v>633</v>
      </c>
      <c r="T9" s="20"/>
      <c r="U9" s="111"/>
      <c r="V9" s="111"/>
      <c r="W9" s="20"/>
      <c r="X9" s="20"/>
      <c r="Y9" s="20"/>
      <c r="Z9" s="65"/>
      <c r="AB9" s="64" t="s">
        <v>1569</v>
      </c>
      <c r="AC9" s="20">
        <f>B9+K9+T9</f>
        <v>3112421.5535897426</v>
      </c>
      <c r="AD9" s="20">
        <f t="shared" ref="AD9:AH9" si="0">C9+L9+U9</f>
        <v>0</v>
      </c>
      <c r="AE9" s="20">
        <f t="shared" si="0"/>
        <v>3112421.5535897426</v>
      </c>
      <c r="AF9" s="20">
        <f t="shared" si="0"/>
        <v>235989.03633333335</v>
      </c>
      <c r="AG9" s="20">
        <f t="shared" si="0"/>
        <v>1485334.3402841871</v>
      </c>
      <c r="AH9" s="20">
        <f t="shared" si="0"/>
        <v>1746362.1067841868</v>
      </c>
      <c r="AI9" s="65">
        <f>H9+Q9+Z9</f>
        <v>1366059.4468055563</v>
      </c>
    </row>
    <row r="10" spans="1:35">
      <c r="A10" s="64"/>
      <c r="B10" s="20"/>
      <c r="C10" s="20"/>
      <c r="D10" s="20"/>
      <c r="E10" s="20"/>
      <c r="F10" s="20"/>
      <c r="G10" s="20"/>
      <c r="H10" s="65"/>
      <c r="J10" s="64"/>
      <c r="K10" s="20"/>
      <c r="L10" s="20"/>
      <c r="M10" s="20"/>
      <c r="N10" s="20"/>
      <c r="O10" s="20"/>
      <c r="P10" s="20"/>
      <c r="Q10" s="65"/>
      <c r="S10" s="64"/>
      <c r="T10" s="20"/>
      <c r="U10" s="20"/>
      <c r="V10" s="20"/>
      <c r="W10" s="20"/>
      <c r="X10" s="20"/>
      <c r="Y10" s="20"/>
      <c r="Z10" s="65"/>
      <c r="AB10" s="64"/>
      <c r="AC10" s="20"/>
      <c r="AD10" s="20"/>
      <c r="AE10" s="20"/>
      <c r="AF10" s="20"/>
      <c r="AG10" s="20"/>
      <c r="AH10" s="20"/>
      <c r="AI10" s="65"/>
    </row>
    <row r="11" spans="1:35" ht="15">
      <c r="A11" s="64" t="s">
        <v>1584</v>
      </c>
      <c r="B11" s="20"/>
      <c r="C11" s="20"/>
      <c r="D11" s="20"/>
      <c r="E11" s="20"/>
      <c r="F11" s="20"/>
      <c r="G11" s="20"/>
      <c r="H11" s="65"/>
      <c r="J11" s="64" t="s">
        <v>1584</v>
      </c>
      <c r="K11" s="20">
        <f>IFERROR(VLOOKUP(J11,'FAR Dep Summary'!$A$31:$F$50,2,FALSE),0)</f>
        <v>0</v>
      </c>
      <c r="L11" s="20">
        <f>K11-M11</f>
        <v>0</v>
      </c>
      <c r="M11" s="20">
        <f>K11</f>
        <v>0</v>
      </c>
      <c r="N11" s="20">
        <f>IFERROR(VLOOKUP($J11,'FAR Dep Summary'!$A$31:$F$50,3,FALSE),0)</f>
        <v>0</v>
      </c>
      <c r="O11" s="20">
        <f>IFERROR(VLOOKUP($J11,'FAR Dep Summary'!$A$31:$F$50,4,FALSE),0)</f>
        <v>0</v>
      </c>
      <c r="P11" s="20">
        <f>IFERROR(VLOOKUP($J11,'FAR Dep Summary'!$A$31:$F$50,5,FALSE),0)</f>
        <v>0</v>
      </c>
      <c r="Q11" s="65">
        <f>IFERROR(VLOOKUP($J11,'FAR Dep Summary'!$A$31:$F$50,6,FALSE),0)</f>
        <v>0</v>
      </c>
      <c r="S11" s="64" t="s">
        <v>1584</v>
      </c>
      <c r="T11" s="20"/>
      <c r="U11" s="111"/>
      <c r="V11" s="111"/>
      <c r="W11" s="20"/>
      <c r="X11" s="20"/>
      <c r="Y11" s="20"/>
      <c r="Z11" s="65"/>
      <c r="AB11" s="64" t="s">
        <v>1584</v>
      </c>
      <c r="AC11" s="20">
        <f t="shared" ref="AC11" si="1">B11+K11+T11</f>
        <v>0</v>
      </c>
      <c r="AD11" s="20">
        <f t="shared" ref="AD11" si="2">C11+L11+U11</f>
        <v>0</v>
      </c>
      <c r="AE11" s="20">
        <f t="shared" ref="AE11" si="3">D11+M11+V11</f>
        <v>0</v>
      </c>
      <c r="AF11" s="20">
        <f t="shared" ref="AF11" si="4">E11+N11+W11</f>
        <v>0</v>
      </c>
      <c r="AG11" s="20">
        <f t="shared" ref="AG11" si="5">F11+O11+X11</f>
        <v>0</v>
      </c>
      <c r="AH11" s="20">
        <f t="shared" ref="AH11" si="6">G11+P11+Y11</f>
        <v>0</v>
      </c>
      <c r="AI11" s="65">
        <f t="shared" ref="AI11" si="7">H11+Q11+Z11</f>
        <v>0</v>
      </c>
    </row>
    <row r="12" spans="1:35">
      <c r="A12" s="64"/>
      <c r="B12" s="20"/>
      <c r="C12" s="20"/>
      <c r="D12" s="20"/>
      <c r="E12" s="20"/>
      <c r="F12" s="20"/>
      <c r="G12" s="20"/>
      <c r="H12" s="65"/>
      <c r="J12" s="64"/>
      <c r="K12" s="20"/>
      <c r="L12" s="20"/>
      <c r="M12" s="20"/>
      <c r="N12" s="20"/>
      <c r="O12" s="20"/>
      <c r="P12" s="20"/>
      <c r="Q12" s="65"/>
      <c r="S12" s="64"/>
      <c r="T12" s="20"/>
      <c r="U12" s="20"/>
      <c r="V12" s="20"/>
      <c r="W12" s="20"/>
      <c r="X12" s="20"/>
      <c r="Y12" s="20"/>
      <c r="Z12" s="65"/>
      <c r="AB12" s="64"/>
      <c r="AC12" s="20"/>
      <c r="AD12" s="20"/>
      <c r="AE12" s="20"/>
      <c r="AF12" s="20"/>
      <c r="AG12" s="20"/>
      <c r="AH12" s="20"/>
      <c r="AI12" s="65"/>
    </row>
    <row r="13" spans="1:35" ht="15">
      <c r="A13" s="64" t="s">
        <v>1571</v>
      </c>
      <c r="B13" s="20">
        <f>Depreciation!M48</f>
        <v>823200.49</v>
      </c>
      <c r="C13" s="20">
        <f>B13-D13</f>
        <v>0</v>
      </c>
      <c r="D13" s="20">
        <f>Depreciation!N48</f>
        <v>823200.49</v>
      </c>
      <c r="E13" s="20">
        <f>Depreciation!Q48</f>
        <v>46201.388999999988</v>
      </c>
      <c r="F13" s="20">
        <f>Depreciation!S48</f>
        <v>546094.62624999648</v>
      </c>
      <c r="G13" s="20">
        <f>Depreciation!T48</f>
        <v>600019.06474999641</v>
      </c>
      <c r="H13" s="65">
        <f>Depreciation!U48</f>
        <v>223181.42525000349</v>
      </c>
      <c r="J13" s="64" t="s">
        <v>1565</v>
      </c>
      <c r="K13" s="20">
        <f>IFERROR(VLOOKUP(J13,'FAR Dep Summary'!$A$31:$F$50,2,FALSE),0)</f>
        <v>12541.84</v>
      </c>
      <c r="L13" s="20">
        <f>K13-M13</f>
        <v>0</v>
      </c>
      <c r="M13" s="20">
        <f>K13</f>
        <v>12541.84</v>
      </c>
      <c r="N13" s="20">
        <f>IFERROR(VLOOKUP($J13,'FAR Dep Summary'!$A$31:$F$50,3,FALSE),0)</f>
        <v>4180.6133333333337</v>
      </c>
      <c r="O13" s="20">
        <f>IFERROR(VLOOKUP($J13,'FAR Dep Summary'!$A$31:$F$50,4,FALSE),0)</f>
        <v>993.28305555560428</v>
      </c>
      <c r="P13" s="20">
        <f>IFERROR(VLOOKUP($J13,'FAR Dep Summary'!$A$31:$F$50,5,FALSE),0)</f>
        <v>5173.8963888889375</v>
      </c>
      <c r="Q13" s="65">
        <f>IFERROR(VLOOKUP($J13,'FAR Dep Summary'!$A$31:$F$50,6,FALSE),0)</f>
        <v>7367.9436111110626</v>
      </c>
      <c r="S13" s="64" t="s">
        <v>634</v>
      </c>
      <c r="T13" s="20"/>
      <c r="U13" s="111"/>
      <c r="V13" s="111"/>
      <c r="W13" s="20"/>
      <c r="X13" s="20"/>
      <c r="Y13" s="20"/>
      <c r="Z13" s="65"/>
      <c r="AB13" s="64" t="s">
        <v>1571</v>
      </c>
      <c r="AC13" s="20">
        <f t="shared" ref="AC13:AI13" si="8">B13+K13+T13</f>
        <v>835742.33</v>
      </c>
      <c r="AD13" s="20">
        <f t="shared" si="8"/>
        <v>0</v>
      </c>
      <c r="AE13" s="20">
        <f t="shared" si="8"/>
        <v>835742.33</v>
      </c>
      <c r="AF13" s="20">
        <f t="shared" si="8"/>
        <v>50382.002333333323</v>
      </c>
      <c r="AG13" s="20">
        <f t="shared" si="8"/>
        <v>547087.90930555214</v>
      </c>
      <c r="AH13" s="20">
        <f t="shared" si="8"/>
        <v>605192.96113888535</v>
      </c>
      <c r="AI13" s="65">
        <f t="shared" si="8"/>
        <v>230549.36886111455</v>
      </c>
    </row>
    <row r="14" spans="1:35">
      <c r="A14" s="64"/>
      <c r="B14" s="20"/>
      <c r="C14" s="20"/>
      <c r="D14" s="20"/>
      <c r="E14" s="20"/>
      <c r="F14" s="20"/>
      <c r="G14" s="20"/>
      <c r="H14" s="65"/>
      <c r="J14" s="64"/>
      <c r="K14" s="20"/>
      <c r="L14" s="20"/>
      <c r="M14" s="20"/>
      <c r="N14" s="20"/>
      <c r="O14" s="20"/>
      <c r="P14" s="20"/>
      <c r="Q14" s="65"/>
      <c r="S14" s="64"/>
      <c r="T14" s="20"/>
      <c r="U14" s="20"/>
      <c r="V14" s="20"/>
      <c r="W14" s="20"/>
      <c r="X14" s="20"/>
      <c r="Y14" s="20"/>
      <c r="Z14" s="65"/>
      <c r="AB14" s="64"/>
      <c r="AC14" s="20"/>
      <c r="AD14" s="20"/>
      <c r="AE14" s="20"/>
      <c r="AF14" s="20"/>
      <c r="AG14" s="20"/>
      <c r="AH14" s="20"/>
      <c r="AI14" s="65"/>
    </row>
    <row r="15" spans="1:35" ht="15">
      <c r="A15" s="64" t="s">
        <v>1567</v>
      </c>
      <c r="B15" s="20">
        <f>Depreciation!M68</f>
        <v>526427.369025641</v>
      </c>
      <c r="C15" s="20">
        <f>B15-D15</f>
        <v>0</v>
      </c>
      <c r="D15" s="20">
        <f>Depreciation!N68</f>
        <v>526427.369025641</v>
      </c>
      <c r="E15" s="20">
        <f>Depreciation!Q68</f>
        <v>0</v>
      </c>
      <c r="F15" s="20">
        <f>Depreciation!S68</f>
        <v>500930.64552564098</v>
      </c>
      <c r="G15" s="20">
        <f>Depreciation!T68</f>
        <v>526427.369025641</v>
      </c>
      <c r="H15" s="65">
        <f>Depreciation!U68</f>
        <v>0</v>
      </c>
      <c r="I15" s="39"/>
      <c r="J15" s="64" t="s">
        <v>1567</v>
      </c>
      <c r="K15" s="20">
        <f>IFERROR(VLOOKUP(J15,'FAR Dep Summary'!$A$31:$F$50,2,FALSE),0)</f>
        <v>973823.98</v>
      </c>
      <c r="L15" s="20">
        <f>K15-M15</f>
        <v>0</v>
      </c>
      <c r="M15" s="20">
        <f>K15</f>
        <v>973823.98</v>
      </c>
      <c r="N15" s="20">
        <f>IFERROR(VLOOKUP($J15,'FAR Dep Summary'!$A$31:$F$50,3,FALSE),0)</f>
        <v>112205.13133333335</v>
      </c>
      <c r="O15" s="20">
        <f>IFERROR(VLOOKUP($J15,'FAR Dep Summary'!$A$31:$F$50,4,FALSE),0)</f>
        <v>68940.79800000212</v>
      </c>
      <c r="P15" s="20">
        <f>IFERROR(VLOOKUP($J15,'FAR Dep Summary'!$A$31:$F$50,5,FALSE),0)</f>
        <v>181145.92933333546</v>
      </c>
      <c r="Q15" s="65">
        <f>IFERROR(VLOOKUP($J15,'FAR Dep Summary'!$A$31:$F$50,6,FALSE),0)</f>
        <v>792678.05066666461</v>
      </c>
      <c r="S15" s="64" t="s">
        <v>12</v>
      </c>
      <c r="T15" s="20"/>
      <c r="U15" s="111"/>
      <c r="V15" s="111"/>
      <c r="W15" s="20"/>
      <c r="X15" s="20"/>
      <c r="Y15" s="20"/>
      <c r="Z15" s="65"/>
      <c r="AB15" s="64" t="s">
        <v>1567</v>
      </c>
      <c r="AC15" s="20">
        <f>B15+K15+T15</f>
        <v>1500251.3490256411</v>
      </c>
      <c r="AD15" s="20">
        <f t="shared" ref="AD15:AI15" si="9">C15+L15+U15</f>
        <v>0</v>
      </c>
      <c r="AE15" s="20">
        <f t="shared" si="9"/>
        <v>1500251.3490256411</v>
      </c>
      <c r="AF15" s="20">
        <f t="shared" si="9"/>
        <v>112205.13133333335</v>
      </c>
      <c r="AG15" s="20">
        <f t="shared" si="9"/>
        <v>569871.44352564309</v>
      </c>
      <c r="AH15" s="20">
        <f t="shared" si="9"/>
        <v>707573.29835897649</v>
      </c>
      <c r="AI15" s="65">
        <f t="shared" si="9"/>
        <v>792678.05066666461</v>
      </c>
    </row>
    <row r="16" spans="1:35">
      <c r="A16" s="64"/>
      <c r="B16" s="20"/>
      <c r="C16" s="20"/>
      <c r="D16" s="20"/>
      <c r="E16" s="20"/>
      <c r="F16" s="20"/>
      <c r="G16" s="20"/>
      <c r="H16" s="65"/>
      <c r="J16" s="64"/>
      <c r="K16" s="20"/>
      <c r="L16" s="20"/>
      <c r="M16" s="20"/>
      <c r="N16" s="20"/>
      <c r="O16" s="20"/>
      <c r="P16" s="20"/>
      <c r="Q16" s="65"/>
      <c r="S16" s="64"/>
      <c r="T16" s="20"/>
      <c r="U16" s="20"/>
      <c r="V16" s="20"/>
      <c r="W16" s="20"/>
      <c r="X16" s="20"/>
      <c r="Y16" s="20"/>
      <c r="Z16" s="65"/>
      <c r="AB16" s="64"/>
      <c r="AC16" s="20"/>
      <c r="AD16" s="20"/>
      <c r="AE16" s="20"/>
      <c r="AF16" s="20"/>
      <c r="AG16" s="20"/>
      <c r="AH16" s="20"/>
      <c r="AI16" s="65"/>
    </row>
    <row r="17" spans="1:35" ht="15">
      <c r="A17" s="64" t="s">
        <v>13</v>
      </c>
      <c r="B17" s="20">
        <f>Depreciation!M86</f>
        <v>220999.85</v>
      </c>
      <c r="C17" s="20">
        <f>B17-D17</f>
        <v>0</v>
      </c>
      <c r="D17" s="20">
        <f>Depreciation!N86</f>
        <v>220999.85</v>
      </c>
      <c r="E17" s="20">
        <f>Depreciation!Q86</f>
        <v>0</v>
      </c>
      <c r="F17" s="20">
        <f>Depreciation!S86</f>
        <v>215208.91</v>
      </c>
      <c r="G17" s="20">
        <f>Depreciation!T86</f>
        <v>220999.85</v>
      </c>
      <c r="H17" s="65">
        <f>Depreciation!U86</f>
        <v>0</v>
      </c>
      <c r="J17" s="64" t="s">
        <v>13</v>
      </c>
      <c r="K17" s="20">
        <f>IFERROR(VLOOKUP(J17,'FAR Dep Summary'!$A$31:$F$50,2,FALSE),0)</f>
        <v>568520.83000000007</v>
      </c>
      <c r="L17" s="20">
        <f>K17-M17</f>
        <v>0</v>
      </c>
      <c r="M17" s="20">
        <f>K17</f>
        <v>568520.83000000007</v>
      </c>
      <c r="N17" s="20">
        <f>IFERROR(VLOOKUP($J17,'FAR Dep Summary'!$A$31:$F$50,3,FALSE),0)</f>
        <v>47075.18</v>
      </c>
      <c r="O17" s="20">
        <f>IFERROR(VLOOKUP($J17,'FAR Dep Summary'!$A$31:$F$50,4,FALSE),0)</f>
        <v>99553.75</v>
      </c>
      <c r="P17" s="20">
        <f>IFERROR(VLOOKUP($J17,'FAR Dep Summary'!$A$31:$F$50,5,FALSE),0)</f>
        <v>146628.93</v>
      </c>
      <c r="Q17" s="65">
        <f>IFERROR(VLOOKUP($J17,'FAR Dep Summary'!$A$31:$F$50,6,FALSE),0)</f>
        <v>421891.89999999997</v>
      </c>
      <c r="S17" s="64" t="s">
        <v>13</v>
      </c>
      <c r="T17" s="20"/>
      <c r="U17" s="111"/>
      <c r="V17" s="111"/>
      <c r="W17" s="20"/>
      <c r="X17" s="20"/>
      <c r="Y17" s="20"/>
      <c r="Z17" s="65"/>
      <c r="AB17" s="64" t="s">
        <v>13</v>
      </c>
      <c r="AC17" s="20">
        <f t="shared" ref="AC17" si="10">B17+K17+T17</f>
        <v>789520.68</v>
      </c>
      <c r="AD17" s="20">
        <f t="shared" ref="AD17" si="11">C17+L17+U17</f>
        <v>0</v>
      </c>
      <c r="AE17" s="20">
        <f t="shared" ref="AE17" si="12">D17+M17+V17</f>
        <v>789520.68</v>
      </c>
      <c r="AF17" s="20">
        <f t="shared" ref="AF17" si="13">E17+N17+W17</f>
        <v>47075.18</v>
      </c>
      <c r="AG17" s="20">
        <f t="shared" ref="AG17" si="14">F17+O17+X17</f>
        <v>314762.66000000003</v>
      </c>
      <c r="AH17" s="20">
        <f t="shared" ref="AH17" si="15">G17+P17+Y17</f>
        <v>367628.78</v>
      </c>
      <c r="AI17" s="65">
        <f t="shared" ref="AI17" si="16">H17+Q17+Z17</f>
        <v>421891.89999999997</v>
      </c>
    </row>
    <row r="18" spans="1:35">
      <c r="A18" s="64"/>
      <c r="B18" s="20"/>
      <c r="C18" s="20"/>
      <c r="D18" s="20"/>
      <c r="E18" s="20"/>
      <c r="F18" s="20"/>
      <c r="G18" s="20"/>
      <c r="H18" s="65"/>
      <c r="J18" s="64"/>
      <c r="K18" s="20"/>
      <c r="L18" s="20"/>
      <c r="M18" s="20"/>
      <c r="N18" s="20"/>
      <c r="O18" s="20"/>
      <c r="P18" s="20"/>
      <c r="Q18" s="65"/>
      <c r="S18" s="64"/>
      <c r="T18" s="20"/>
      <c r="U18" s="20"/>
      <c r="V18" s="20"/>
      <c r="W18" s="20"/>
      <c r="X18" s="20"/>
      <c r="Y18" s="20"/>
      <c r="Z18" s="65"/>
      <c r="AB18" s="64"/>
      <c r="AC18" s="20"/>
      <c r="AD18" s="20"/>
      <c r="AE18" s="20"/>
      <c r="AF18" s="20"/>
      <c r="AG18" s="20"/>
      <c r="AH18" s="20"/>
      <c r="AI18" s="65"/>
    </row>
    <row r="19" spans="1:35" ht="15">
      <c r="A19" s="15" t="s">
        <v>1983</v>
      </c>
      <c r="B19" s="20"/>
      <c r="C19" s="20"/>
      <c r="D19" s="20"/>
      <c r="E19" s="20"/>
      <c r="F19" s="20"/>
      <c r="G19" s="20"/>
      <c r="H19" s="65">
        <f>Depreciation!U86</f>
        <v>0</v>
      </c>
      <c r="J19" s="15" t="s">
        <v>1983</v>
      </c>
      <c r="K19" s="20">
        <f>IFERROR(VLOOKUP(J19,'FAR Dep Summary'!$A$31:$F$50,2,FALSE),0)</f>
        <v>687735.87</v>
      </c>
      <c r="L19" s="20">
        <f>K19-M19</f>
        <v>0</v>
      </c>
      <c r="M19" s="20">
        <f>K19</f>
        <v>687735.87</v>
      </c>
      <c r="N19" s="20">
        <f>IFERROR(VLOOKUP($J19,'FAR Dep Summary'!$A$31:$F$50,3,FALSE),0)</f>
        <v>68773.587</v>
      </c>
      <c r="O19" s="20">
        <f>IFERROR(VLOOKUP($J19,'FAR Dep Summary'!$A$31:$F$50,4,FALSE),0)</f>
        <v>0</v>
      </c>
      <c r="P19" s="20">
        <f>IFERROR(VLOOKUP($J19,'FAR Dep Summary'!$A$31:$F$50,5,FALSE),0)</f>
        <v>68773.587</v>
      </c>
      <c r="Q19" s="65">
        <f>IFERROR(VLOOKUP($J19,'FAR Dep Summary'!$A$31:$F$50,6,FALSE),0)</f>
        <v>618962.28300000005</v>
      </c>
      <c r="S19" s="15" t="s">
        <v>1983</v>
      </c>
      <c r="T19" s="20"/>
      <c r="U19" s="111"/>
      <c r="V19" s="111"/>
      <c r="W19" s="20"/>
      <c r="X19" s="20"/>
      <c r="Y19" s="20"/>
      <c r="Z19" s="65"/>
      <c r="AB19" s="15" t="s">
        <v>1983</v>
      </c>
      <c r="AC19" s="20">
        <f t="shared" ref="AC19:AI19" si="17">B19+K19+T19</f>
        <v>687735.87</v>
      </c>
      <c r="AD19" s="20">
        <f t="shared" si="17"/>
        <v>0</v>
      </c>
      <c r="AE19" s="20">
        <f t="shared" si="17"/>
        <v>687735.87</v>
      </c>
      <c r="AF19" s="20">
        <f t="shared" si="17"/>
        <v>68773.587</v>
      </c>
      <c r="AG19" s="20">
        <f t="shared" si="17"/>
        <v>0</v>
      </c>
      <c r="AH19" s="20">
        <f t="shared" si="17"/>
        <v>68773.587</v>
      </c>
      <c r="AI19" s="65">
        <f t="shared" si="17"/>
        <v>618962.28300000005</v>
      </c>
    </row>
    <row r="20" spans="1:35">
      <c r="A20" s="64"/>
      <c r="B20" s="20"/>
      <c r="C20" s="20"/>
      <c r="D20" s="20"/>
      <c r="E20" s="20"/>
      <c r="F20" s="20"/>
      <c r="G20" s="20"/>
      <c r="H20" s="65"/>
      <c r="J20" s="64"/>
      <c r="K20" s="20"/>
      <c r="L20" s="20"/>
      <c r="M20" s="20"/>
      <c r="N20" s="20"/>
      <c r="O20" s="20"/>
      <c r="P20" s="20"/>
      <c r="Q20" s="65"/>
      <c r="S20" s="64"/>
      <c r="T20" s="20"/>
      <c r="U20" s="20"/>
      <c r="V20" s="20"/>
      <c r="W20" s="20"/>
      <c r="X20" s="20"/>
      <c r="Y20" s="20"/>
      <c r="Z20" s="65"/>
      <c r="AB20" s="64"/>
      <c r="AC20" s="20"/>
      <c r="AD20" s="20"/>
      <c r="AE20" s="20"/>
      <c r="AF20" s="20"/>
      <c r="AG20" s="20"/>
      <c r="AH20" s="20"/>
      <c r="AI20" s="65"/>
    </row>
    <row r="21" spans="1:35" ht="15">
      <c r="A21" s="64" t="s">
        <v>1566</v>
      </c>
      <c r="B21" s="20">
        <f>Depreciation!M99</f>
        <v>1033791.7436923075</v>
      </c>
      <c r="C21" s="20">
        <f>B21-D21</f>
        <v>0</v>
      </c>
      <c r="D21" s="20">
        <f>Depreciation!N99</f>
        <v>1033791.7436923075</v>
      </c>
      <c r="E21" s="20">
        <f>Depreciation!Q99</f>
        <v>76327.580999999991</v>
      </c>
      <c r="F21" s="20">
        <f>Depreciation!S99</f>
        <v>588634.05444230745</v>
      </c>
      <c r="G21" s="20">
        <f>Depreciation!T99</f>
        <v>677450.48544230743</v>
      </c>
      <c r="H21" s="65">
        <f>Depreciation!U99</f>
        <v>356341.25825000019</v>
      </c>
      <c r="J21" s="64" t="s">
        <v>1566</v>
      </c>
      <c r="K21" s="20">
        <f>IFERROR(VLOOKUP(J21,'FAR Dep Summary'!$A$31:$F$50,2,FALSE),0)</f>
        <v>832072.41999999993</v>
      </c>
      <c r="L21" s="20">
        <f>K21-M21</f>
        <v>0</v>
      </c>
      <c r="M21" s="20">
        <f>K21</f>
        <v>832072.41999999993</v>
      </c>
      <c r="N21" s="20">
        <f>IFERROR(VLOOKUP($J21,'FAR Dep Summary'!$A$31:$F$50,3,FALSE),0)</f>
        <v>83207.241999999998</v>
      </c>
      <c r="O21" s="20">
        <f>IFERROR(VLOOKUP($J21,'FAR Dep Summary'!$A$31:$F$50,4,FALSE),0)</f>
        <v>22959.390249997017</v>
      </c>
      <c r="P21" s="20">
        <f>IFERROR(VLOOKUP($J21,'FAR Dep Summary'!$A$31:$F$50,5,FALSE),0)</f>
        <v>106166.63224999703</v>
      </c>
      <c r="Q21" s="65">
        <f>IFERROR(VLOOKUP($J21,'FAR Dep Summary'!$A$31:$F$50,6,FALSE),0)</f>
        <v>725905.78775000293</v>
      </c>
      <c r="S21" s="64" t="s">
        <v>635</v>
      </c>
      <c r="T21" s="20"/>
      <c r="U21" s="111"/>
      <c r="V21" s="111"/>
      <c r="W21" s="20"/>
      <c r="X21" s="20"/>
      <c r="Y21" s="20"/>
      <c r="Z21" s="65"/>
      <c r="AB21" s="64" t="s">
        <v>1566</v>
      </c>
      <c r="AC21" s="20">
        <f t="shared" ref="AC21:AH21" si="18">B21+K21+T21</f>
        <v>1865864.1636923074</v>
      </c>
      <c r="AD21" s="20">
        <f t="shared" si="18"/>
        <v>0</v>
      </c>
      <c r="AE21" s="20">
        <f t="shared" si="18"/>
        <v>1865864.1636923074</v>
      </c>
      <c r="AF21" s="20">
        <f t="shared" si="18"/>
        <v>159534.82299999997</v>
      </c>
      <c r="AG21" s="20">
        <f t="shared" si="18"/>
        <v>611593.44469230447</v>
      </c>
      <c r="AH21" s="20">
        <f t="shared" si="18"/>
        <v>783617.11769230443</v>
      </c>
      <c r="AI21" s="65">
        <f>H21+Q21+Z21</f>
        <v>1082247.0460000031</v>
      </c>
    </row>
    <row r="22" spans="1:35">
      <c r="A22" s="64"/>
      <c r="B22" s="20"/>
      <c r="C22" s="20"/>
      <c r="D22" s="20"/>
      <c r="E22" s="20"/>
      <c r="F22" s="20"/>
      <c r="G22" s="20"/>
      <c r="H22" s="65"/>
      <c r="J22" s="64"/>
      <c r="K22" s="20"/>
      <c r="L22" s="20"/>
      <c r="M22" s="20"/>
      <c r="N22" s="20"/>
      <c r="O22" s="20"/>
      <c r="P22" s="20"/>
      <c r="Q22" s="65"/>
      <c r="S22" s="64"/>
      <c r="T22" s="20"/>
      <c r="U22" s="20"/>
      <c r="V22" s="20"/>
      <c r="W22" s="20"/>
      <c r="X22" s="20"/>
      <c r="Y22" s="20"/>
      <c r="Z22" s="65"/>
      <c r="AB22" s="64"/>
      <c r="AC22" s="20"/>
      <c r="AD22" s="20"/>
      <c r="AE22" s="20"/>
      <c r="AF22" s="20"/>
      <c r="AG22" s="20"/>
      <c r="AH22" s="20"/>
      <c r="AI22" s="65"/>
    </row>
    <row r="23" spans="1:35" ht="15">
      <c r="A23" s="64" t="s">
        <v>1570</v>
      </c>
      <c r="B23" s="20">
        <f>Depreciation!M123</f>
        <v>671366.88369230763</v>
      </c>
      <c r="C23" s="20">
        <f>B23-D23</f>
        <v>0</v>
      </c>
      <c r="D23" s="20">
        <f>Depreciation!N123</f>
        <v>671366.88369230763</v>
      </c>
      <c r="E23" s="20">
        <f>Depreciation!Q123</f>
        <v>41926.037894778114</v>
      </c>
      <c r="F23" s="20">
        <f>Depreciation!S123</f>
        <v>576319.9625672485</v>
      </c>
      <c r="G23" s="20">
        <f>Depreciation!T123</f>
        <v>640091.9539620264</v>
      </c>
      <c r="H23" s="65">
        <f>Depreciation!U123</f>
        <v>31274.92973028111</v>
      </c>
      <c r="J23" s="64" t="s">
        <v>1570</v>
      </c>
      <c r="K23" s="20">
        <f>IFERROR(VLOOKUP(J23,'FAR Dep Summary'!$A$31:$F$50,2,FALSE),0)</f>
        <v>0</v>
      </c>
      <c r="L23" s="20">
        <f>K23-M23</f>
        <v>0</v>
      </c>
      <c r="M23" s="20">
        <f>K23</f>
        <v>0</v>
      </c>
      <c r="N23" s="20">
        <f>IFERROR(VLOOKUP($J23,'FAR Dep Summary'!$A$31:$F$50,3,FALSE),0)</f>
        <v>0</v>
      </c>
      <c r="O23" s="20">
        <f>IFERROR(VLOOKUP($J23,'FAR Dep Summary'!$A$31:$F$50,4,FALSE),0)</f>
        <v>0</v>
      </c>
      <c r="P23" s="20">
        <f>IFERROR(VLOOKUP($J23,'FAR Dep Summary'!$A$31:$F$50,5,FALSE),0)</f>
        <v>0</v>
      </c>
      <c r="Q23" s="65">
        <f>IFERROR(VLOOKUP($J23,'FAR Dep Summary'!$A$31:$F$50,6,FALSE),0)</f>
        <v>0</v>
      </c>
      <c r="S23" s="64" t="s">
        <v>636</v>
      </c>
      <c r="T23" s="20">
        <f>'Additional Depreciation'!D45</f>
        <v>194790</v>
      </c>
      <c r="U23" s="111"/>
      <c r="V23" s="111">
        <f>T23</f>
        <v>194790</v>
      </c>
      <c r="W23" s="20">
        <f>'Additional Depreciation'!F45</f>
        <v>19479</v>
      </c>
      <c r="X23" s="20"/>
      <c r="Y23" s="20">
        <f>'Additional Depreciation'!G45</f>
        <v>19479</v>
      </c>
      <c r="Z23" s="65">
        <f>'Additional Depreciation'!H45</f>
        <v>175311</v>
      </c>
      <c r="AB23" s="64" t="s">
        <v>1570</v>
      </c>
      <c r="AC23" s="20">
        <f t="shared" ref="AC23:AI23" si="19">B23+K23+T23</f>
        <v>866156.88369230763</v>
      </c>
      <c r="AD23" s="20">
        <f t="shared" si="19"/>
        <v>0</v>
      </c>
      <c r="AE23" s="20">
        <f t="shared" si="19"/>
        <v>866156.88369230763</v>
      </c>
      <c r="AF23" s="20">
        <f t="shared" si="19"/>
        <v>61405.037894778114</v>
      </c>
      <c r="AG23" s="20">
        <f t="shared" si="19"/>
        <v>576319.9625672485</v>
      </c>
      <c r="AH23" s="20">
        <f t="shared" si="19"/>
        <v>659570.9539620264</v>
      </c>
      <c r="AI23" s="65">
        <f t="shared" si="19"/>
        <v>206585.92973028112</v>
      </c>
    </row>
    <row r="24" spans="1:35">
      <c r="A24" s="64"/>
      <c r="B24" s="20"/>
      <c r="C24" s="20"/>
      <c r="D24" s="20"/>
      <c r="E24" s="20"/>
      <c r="F24" s="20"/>
      <c r="G24" s="20"/>
      <c r="H24" s="65"/>
      <c r="J24" s="64"/>
      <c r="K24" s="20"/>
      <c r="L24" s="20"/>
      <c r="M24" s="20"/>
      <c r="N24" s="20"/>
      <c r="O24" s="20"/>
      <c r="P24" s="20"/>
      <c r="Q24" s="65"/>
      <c r="S24" s="64"/>
      <c r="T24" s="20"/>
      <c r="U24" s="20"/>
      <c r="V24" s="20"/>
      <c r="W24" s="20"/>
      <c r="X24" s="20"/>
      <c r="Y24" s="20"/>
      <c r="Z24" s="65"/>
      <c r="AB24" s="64"/>
      <c r="AC24" s="20"/>
      <c r="AD24" s="20"/>
      <c r="AE24" s="20"/>
      <c r="AF24" s="20"/>
      <c r="AG24" s="20"/>
      <c r="AH24" s="20"/>
      <c r="AI24" s="65"/>
    </row>
    <row r="25" spans="1:35" ht="15">
      <c r="A25" s="64" t="s">
        <v>450</v>
      </c>
      <c r="B25" s="20">
        <f>Depreciation!M133</f>
        <v>521571.06</v>
      </c>
      <c r="C25" s="20">
        <f>B25-D25</f>
        <v>0</v>
      </c>
      <c r="D25" s="20">
        <f>Depreciation!N133</f>
        <v>521571.06</v>
      </c>
      <c r="E25" s="20">
        <f>Depreciation!Q133</f>
        <v>0</v>
      </c>
      <c r="F25" s="20">
        <f>Depreciation!S133</f>
        <v>498067.56866666675</v>
      </c>
      <c r="G25" s="20">
        <f>Depreciation!T133</f>
        <v>521571.06</v>
      </c>
      <c r="H25" s="65">
        <f>Depreciation!U133</f>
        <v>0</v>
      </c>
      <c r="J25" s="64" t="s">
        <v>450</v>
      </c>
      <c r="K25" s="20">
        <f>IFERROR(VLOOKUP(J25,'FAR Dep Summary'!$A$31:$F$50,2,FALSE),0)</f>
        <v>394578.57999999996</v>
      </c>
      <c r="L25" s="20">
        <f>K25-M25</f>
        <v>0</v>
      </c>
      <c r="M25" s="20">
        <f>K25</f>
        <v>394578.57999999996</v>
      </c>
      <c r="N25" s="20">
        <f>IFERROR(VLOOKUP($J25,'FAR Dep Summary'!$A$31:$F$50,3,FALSE),0)</f>
        <v>39457.858</v>
      </c>
      <c r="O25" s="20">
        <f>IFERROR(VLOOKUP($J25,'FAR Dep Summary'!$A$31:$F$50,4,FALSE),0)</f>
        <v>62420.841083330306</v>
      </c>
      <c r="P25" s="20">
        <f>IFERROR(VLOOKUP($J25,'FAR Dep Summary'!$A$31:$F$50,5,FALSE),0)</f>
        <v>101878.69908333031</v>
      </c>
      <c r="Q25" s="65">
        <f>IFERROR(VLOOKUP($J25,'FAR Dep Summary'!$A$31:$F$50,6,FALSE),0)</f>
        <v>292699.88091666967</v>
      </c>
      <c r="S25" s="64" t="s">
        <v>450</v>
      </c>
      <c r="T25" s="20"/>
      <c r="U25" s="111"/>
      <c r="V25" s="111"/>
      <c r="W25" s="20"/>
      <c r="X25" s="20"/>
      <c r="Y25" s="20"/>
      <c r="Z25" s="65"/>
      <c r="AB25" s="64" t="s">
        <v>450</v>
      </c>
      <c r="AC25" s="20">
        <f t="shared" ref="AC25:AI25" si="20">B25+K25+T25</f>
        <v>916149.6399999999</v>
      </c>
      <c r="AD25" s="20">
        <f t="shared" si="20"/>
        <v>0</v>
      </c>
      <c r="AE25" s="20">
        <f t="shared" si="20"/>
        <v>916149.6399999999</v>
      </c>
      <c r="AF25" s="20">
        <f t="shared" si="20"/>
        <v>39457.858</v>
      </c>
      <c r="AG25" s="20">
        <f t="shared" si="20"/>
        <v>560488.40974999708</v>
      </c>
      <c r="AH25" s="20">
        <f t="shared" si="20"/>
        <v>623449.75908333028</v>
      </c>
      <c r="AI25" s="65">
        <f t="shared" si="20"/>
        <v>292699.88091666967</v>
      </c>
    </row>
    <row r="26" spans="1:35">
      <c r="A26" s="64"/>
      <c r="B26" s="20"/>
      <c r="C26" s="20"/>
      <c r="D26" s="20"/>
      <c r="E26" s="20"/>
      <c r="F26" s="20"/>
      <c r="G26" s="20"/>
      <c r="H26" s="65"/>
      <c r="J26" s="64"/>
      <c r="K26" s="20"/>
      <c r="L26" s="20"/>
      <c r="M26" s="20"/>
      <c r="N26" s="20"/>
      <c r="O26" s="20"/>
      <c r="P26" s="20"/>
      <c r="Q26" s="65"/>
      <c r="S26" s="64"/>
      <c r="T26" s="20"/>
      <c r="U26" s="20"/>
      <c r="V26" s="20"/>
      <c r="W26" s="20"/>
      <c r="X26" s="20"/>
      <c r="Y26" s="20"/>
      <c r="Z26" s="65"/>
      <c r="AB26" s="64"/>
      <c r="AC26" s="20"/>
      <c r="AD26" s="20"/>
      <c r="AE26" s="20"/>
      <c r="AF26" s="20"/>
      <c r="AG26" s="20"/>
      <c r="AH26" s="20"/>
      <c r="AI26" s="65"/>
    </row>
    <row r="27" spans="1:35" ht="15">
      <c r="A27" s="64" t="s">
        <v>1782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65">
        <v>0</v>
      </c>
      <c r="J27" s="64" t="s">
        <v>1782</v>
      </c>
      <c r="K27" s="20">
        <f>IFERROR(VLOOKUP(J27,'FAR Dep Summary'!$A$31:$F$50,2,FALSE),0)</f>
        <v>377934.97</v>
      </c>
      <c r="L27" s="20">
        <f>K27-M27</f>
        <v>0</v>
      </c>
      <c r="M27" s="20">
        <f>K27</f>
        <v>377934.97</v>
      </c>
      <c r="N27" s="20">
        <f>IFERROR(VLOOKUP($J27,'FAR Dep Summary'!$A$31:$F$50,3,FALSE),0)</f>
        <v>0</v>
      </c>
      <c r="O27" s="20">
        <f>IFERROR(VLOOKUP($J27,'FAR Dep Summary'!$A$31:$F$50,4,FALSE),0)</f>
        <v>377934.97</v>
      </c>
      <c r="P27" s="20">
        <f>IFERROR(VLOOKUP($J27,'FAR Dep Summary'!$A$31:$F$50,5,FALSE),0)</f>
        <v>377934.97</v>
      </c>
      <c r="Q27" s="65">
        <f>IFERROR(VLOOKUP($J27,'FAR Dep Summary'!$A$31:$F$50,6,FALSE),0)</f>
        <v>0</v>
      </c>
      <c r="S27" s="64" t="s">
        <v>1782</v>
      </c>
      <c r="T27" s="20"/>
      <c r="U27" s="111"/>
      <c r="V27" s="111"/>
      <c r="W27" s="20"/>
      <c r="X27" s="20"/>
      <c r="Y27" s="20"/>
      <c r="Z27" s="65"/>
      <c r="AB27" s="64" t="s">
        <v>1782</v>
      </c>
      <c r="AC27" s="20">
        <f t="shared" ref="AC27" si="21">B27+K27+T27</f>
        <v>377934.97</v>
      </c>
      <c r="AD27" s="20">
        <f t="shared" ref="AD27" si="22">C27+L27+U27</f>
        <v>0</v>
      </c>
      <c r="AE27" s="20">
        <f t="shared" ref="AE27" si="23">D27+M27+V27</f>
        <v>377934.97</v>
      </c>
      <c r="AF27" s="20">
        <f t="shared" ref="AF27" si="24">E27+N27+W27</f>
        <v>0</v>
      </c>
      <c r="AG27" s="20">
        <f t="shared" ref="AG27" si="25">F27+O27+X27</f>
        <v>377934.97</v>
      </c>
      <c r="AH27" s="20">
        <f t="shared" ref="AH27" si="26">G27+P27+Y27</f>
        <v>377934.97</v>
      </c>
      <c r="AI27" s="65">
        <f t="shared" ref="AI27" si="27">H27+Q27+Z27</f>
        <v>0</v>
      </c>
    </row>
    <row r="28" spans="1:35">
      <c r="A28" s="64"/>
      <c r="B28" s="33"/>
      <c r="C28" s="33"/>
      <c r="D28" s="33"/>
      <c r="E28" s="33"/>
      <c r="F28" s="33"/>
      <c r="G28" s="33"/>
      <c r="H28" s="66"/>
      <c r="J28" s="64"/>
      <c r="K28" s="33"/>
      <c r="L28" s="33"/>
      <c r="M28" s="33"/>
      <c r="N28" s="33"/>
      <c r="O28" s="33"/>
      <c r="P28" s="33"/>
      <c r="Q28" s="66"/>
      <c r="S28" s="64"/>
      <c r="T28" s="33"/>
      <c r="U28" s="33"/>
      <c r="V28" s="33"/>
      <c r="W28" s="33"/>
      <c r="X28" s="33"/>
      <c r="Y28" s="33"/>
      <c r="Z28" s="66"/>
      <c r="AB28" s="64"/>
      <c r="AC28" s="33"/>
      <c r="AD28" s="33"/>
      <c r="AE28" s="33"/>
      <c r="AF28" s="33"/>
      <c r="AG28" s="33"/>
      <c r="AH28" s="33"/>
      <c r="AI28" s="66"/>
    </row>
    <row r="29" spans="1:35">
      <c r="A29" s="64" t="s">
        <v>1992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65">
        <v>0</v>
      </c>
      <c r="J29" s="64" t="s">
        <v>1992</v>
      </c>
      <c r="K29" s="20">
        <f>IFERROR(VLOOKUP(J29,'FAR Dep Summary'!$A$31:$F$50,2,FALSE),0)</f>
        <v>0</v>
      </c>
      <c r="L29" s="20">
        <f>K29-M29</f>
        <v>0</v>
      </c>
      <c r="M29" s="20">
        <f>K29</f>
        <v>0</v>
      </c>
      <c r="N29" s="20">
        <f>IFERROR(VLOOKUP($J29,'FAR Dep Summary'!$A$31:$F$50,3,FALSE),0)</f>
        <v>0</v>
      </c>
      <c r="O29" s="20">
        <f>IFERROR(VLOOKUP($J29,'FAR Dep Summary'!$A$31:$F$50,4,FALSE),0)</f>
        <v>0</v>
      </c>
      <c r="P29" s="20">
        <f>IFERROR(VLOOKUP($J29,'FAR Dep Summary'!$A$31:$F$50,5,FALSE),0)</f>
        <v>0</v>
      </c>
      <c r="Q29" s="65">
        <f>IFERROR(VLOOKUP($J29,'FAR Dep Summary'!$A$31:$F$50,6,FALSE),0)</f>
        <v>0</v>
      </c>
      <c r="S29" s="64" t="s">
        <v>1992</v>
      </c>
      <c r="T29" s="20">
        <f>'24_BudgetedCapital'!S66</f>
        <v>130000</v>
      </c>
      <c r="U29" s="20"/>
      <c r="V29" s="20">
        <f>T29</f>
        <v>130000</v>
      </c>
      <c r="W29" s="20">
        <f>'24_BudgetedCapital'!W66</f>
        <v>10833.333333333334</v>
      </c>
      <c r="X29" s="20"/>
      <c r="Y29" s="20">
        <f>W29</f>
        <v>10833.333333333334</v>
      </c>
      <c r="Z29" s="65">
        <f>'24_BudgetedCapital'!X66</f>
        <v>119166.66666666667</v>
      </c>
      <c r="AB29" s="64" t="s">
        <v>1992</v>
      </c>
      <c r="AC29" s="20">
        <f t="shared" ref="AC29" si="28">B29+K29+T29</f>
        <v>130000</v>
      </c>
      <c r="AD29" s="20">
        <f t="shared" ref="AD29" si="29">C29+L29+U29</f>
        <v>0</v>
      </c>
      <c r="AE29" s="20">
        <f t="shared" ref="AE29" si="30">D29+M29+V29</f>
        <v>130000</v>
      </c>
      <c r="AF29" s="20">
        <f t="shared" ref="AF29" si="31">E29+N29+W29</f>
        <v>10833.333333333334</v>
      </c>
      <c r="AG29" s="20">
        <f t="shared" ref="AG29" si="32">F29+O29+X29</f>
        <v>0</v>
      </c>
      <c r="AH29" s="20">
        <f t="shared" ref="AH29" si="33">G29+P29+Y29</f>
        <v>10833.333333333334</v>
      </c>
      <c r="AI29" s="65">
        <f t="shared" ref="AI29" si="34">H29+Q29+Z29</f>
        <v>119166.66666666667</v>
      </c>
    </row>
    <row r="30" spans="1:35">
      <c r="A30" s="64"/>
      <c r="B30" s="33"/>
      <c r="C30" s="33"/>
      <c r="D30" s="33"/>
      <c r="E30" s="33"/>
      <c r="F30" s="33"/>
      <c r="G30" s="33"/>
      <c r="H30" s="66"/>
      <c r="J30" s="64"/>
      <c r="K30" s="33"/>
      <c r="L30" s="33"/>
      <c r="M30" s="33"/>
      <c r="N30" s="33"/>
      <c r="O30" s="33"/>
      <c r="P30" s="33"/>
      <c r="Q30" s="66"/>
      <c r="S30" s="64"/>
      <c r="T30" s="33"/>
      <c r="U30" s="33"/>
      <c r="V30" s="33"/>
      <c r="W30" s="33"/>
      <c r="X30" s="33"/>
      <c r="Y30" s="33"/>
      <c r="Z30" s="66"/>
      <c r="AB30" s="64"/>
      <c r="AC30" s="33"/>
      <c r="AD30" s="33"/>
      <c r="AE30" s="33"/>
      <c r="AF30" s="33"/>
      <c r="AG30" s="33"/>
      <c r="AH30" s="33"/>
      <c r="AI30" s="66"/>
    </row>
    <row r="31" spans="1:35" ht="15">
      <c r="A31" s="64" t="s">
        <v>583</v>
      </c>
      <c r="B31" s="20">
        <f>Depreciation!M153</f>
        <v>200564.17</v>
      </c>
      <c r="C31" s="20">
        <f>B31-D31</f>
        <v>0</v>
      </c>
      <c r="D31" s="20">
        <f>Depreciation!N153</f>
        <v>200564.17</v>
      </c>
      <c r="E31" s="20">
        <f>Depreciation!Q153</f>
        <v>0</v>
      </c>
      <c r="F31" s="20">
        <f>Depreciation!S153</f>
        <v>191780.22700000001</v>
      </c>
      <c r="G31" s="20">
        <f>Depreciation!T153</f>
        <v>200564.17</v>
      </c>
      <c r="H31" s="65">
        <f>Depreciation!U153</f>
        <v>0</v>
      </c>
      <c r="J31" s="64" t="s">
        <v>583</v>
      </c>
      <c r="K31" s="20">
        <f>IFERROR(VLOOKUP(J31,'FAR Dep Summary'!$A$31:$F$50,2,FALSE),0)</f>
        <v>97493.51</v>
      </c>
      <c r="L31" s="20">
        <f>K31-M31</f>
        <v>0</v>
      </c>
      <c r="M31" s="20">
        <f>K31</f>
        <v>97493.51</v>
      </c>
      <c r="N31" s="20">
        <f>IFERROR(VLOOKUP($J31,'FAR Dep Summary'!$A$31:$F$50,3,FALSE),0)</f>
        <v>10085.57</v>
      </c>
      <c r="O31" s="20">
        <f>IFERROR(VLOOKUP($J31,'FAR Dep Summary'!$A$31:$F$50,4,FALSE),0)</f>
        <v>69352.714444443962</v>
      </c>
      <c r="P31" s="20">
        <f>IFERROR(VLOOKUP($J31,'FAR Dep Summary'!$A$31:$F$50,5,FALSE),0)</f>
        <v>79438.284444443969</v>
      </c>
      <c r="Q31" s="65">
        <f>IFERROR(VLOOKUP($J31,'FAR Dep Summary'!$A$31:$F$50,6,FALSE),0)</f>
        <v>18055.225555556033</v>
      </c>
      <c r="S31" s="64" t="s">
        <v>583</v>
      </c>
      <c r="T31" s="20">
        <f>'Additional Depreciation'!D47</f>
        <v>0</v>
      </c>
      <c r="U31" s="111"/>
      <c r="V31" s="111">
        <f>T31</f>
        <v>0</v>
      </c>
      <c r="W31" s="20">
        <f>'Additional Depreciation'!G47</f>
        <v>0</v>
      </c>
      <c r="X31" s="20"/>
      <c r="Y31" s="20">
        <f>'Additional Depreciation'!G47</f>
        <v>0</v>
      </c>
      <c r="Z31" s="65">
        <f>'Additional Depreciation'!H47</f>
        <v>0</v>
      </c>
      <c r="AB31" s="64" t="s">
        <v>583</v>
      </c>
      <c r="AC31" s="20">
        <f t="shared" ref="AC31:AI31" si="35">B31+K31+T31</f>
        <v>298057.68</v>
      </c>
      <c r="AD31" s="20">
        <f t="shared" si="35"/>
        <v>0</v>
      </c>
      <c r="AE31" s="20">
        <f t="shared" si="35"/>
        <v>298057.68</v>
      </c>
      <c r="AF31" s="20">
        <f t="shared" si="35"/>
        <v>10085.57</v>
      </c>
      <c r="AG31" s="20">
        <f t="shared" si="35"/>
        <v>261132.94144444398</v>
      </c>
      <c r="AH31" s="20">
        <f t="shared" si="35"/>
        <v>280002.45444444398</v>
      </c>
      <c r="AI31" s="65">
        <f t="shared" si="35"/>
        <v>18055.225555556033</v>
      </c>
    </row>
    <row r="32" spans="1:35">
      <c r="A32" s="64"/>
      <c r="B32" s="33"/>
      <c r="C32" s="33"/>
      <c r="D32" s="33"/>
      <c r="E32" s="33"/>
      <c r="F32" s="33"/>
      <c r="G32" s="33"/>
      <c r="H32" s="66"/>
      <c r="J32" s="64"/>
      <c r="K32" s="33"/>
      <c r="L32" s="33"/>
      <c r="M32" s="33"/>
      <c r="N32" s="33"/>
      <c r="O32" s="33"/>
      <c r="P32" s="33"/>
      <c r="Q32" s="66"/>
      <c r="S32" s="64"/>
      <c r="T32" s="33"/>
      <c r="U32" s="33"/>
      <c r="V32" s="33"/>
      <c r="W32" s="33"/>
      <c r="X32" s="33"/>
      <c r="Y32" s="33"/>
      <c r="Z32" s="66"/>
      <c r="AB32" s="64"/>
      <c r="AC32" s="33"/>
      <c r="AD32" s="33"/>
      <c r="AE32" s="33"/>
      <c r="AF32" s="33"/>
      <c r="AG32" s="33"/>
      <c r="AH32" s="33"/>
      <c r="AI32" s="66"/>
    </row>
    <row r="33" spans="1:35" s="16" customFormat="1">
      <c r="A33" s="67" t="s">
        <v>14</v>
      </c>
      <c r="B33" s="34">
        <f t="shared" ref="B33:H33" si="36">SUM(B9:B32)</f>
        <v>6632641.4199999981</v>
      </c>
      <c r="C33" s="34">
        <f t="shared" si="36"/>
        <v>0</v>
      </c>
      <c r="D33" s="34">
        <f t="shared" si="36"/>
        <v>6632641.4199999981</v>
      </c>
      <c r="E33" s="34">
        <f t="shared" si="36"/>
        <v>343433.64789477811</v>
      </c>
      <c r="F33" s="34">
        <f t="shared" si="36"/>
        <v>4584769.9036249369</v>
      </c>
      <c r="G33" s="34">
        <f t="shared" si="36"/>
        <v>5058875.2325197142</v>
      </c>
      <c r="H33" s="68">
        <f t="shared" si="36"/>
        <v>1573766.1874802844</v>
      </c>
      <c r="J33" s="67" t="s">
        <v>14</v>
      </c>
      <c r="K33" s="34">
        <f t="shared" ref="K33:Q33" si="37">SUM(K9:K32)</f>
        <v>4422403.7</v>
      </c>
      <c r="L33" s="34">
        <f t="shared" si="37"/>
        <v>0</v>
      </c>
      <c r="M33" s="34">
        <f t="shared" si="37"/>
        <v>4422403.7</v>
      </c>
      <c r="N33" s="34">
        <f t="shared" si="37"/>
        <v>421995.57800000004</v>
      </c>
      <c r="O33" s="34">
        <f t="shared" si="37"/>
        <v>719756.17794443911</v>
      </c>
      <c r="P33" s="34">
        <f t="shared" si="37"/>
        <v>1141751.7559444392</v>
      </c>
      <c r="Q33" s="68">
        <f t="shared" si="37"/>
        <v>3280651.9440555605</v>
      </c>
      <c r="S33" s="67" t="s">
        <v>14</v>
      </c>
      <c r="T33" s="34">
        <f t="shared" ref="T33:Z33" si="38">SUM(T9:T32)</f>
        <v>324790</v>
      </c>
      <c r="U33" s="34">
        <f t="shared" si="38"/>
        <v>0</v>
      </c>
      <c r="V33" s="34">
        <f t="shared" si="38"/>
        <v>324790</v>
      </c>
      <c r="W33" s="34">
        <f t="shared" si="38"/>
        <v>30312.333333333336</v>
      </c>
      <c r="X33" s="34">
        <f t="shared" si="38"/>
        <v>0</v>
      </c>
      <c r="Y33" s="34">
        <f t="shared" si="38"/>
        <v>30312.333333333336</v>
      </c>
      <c r="Z33" s="68">
        <f t="shared" si="38"/>
        <v>294477.66666666669</v>
      </c>
      <c r="AB33" s="67" t="s">
        <v>14</v>
      </c>
      <c r="AC33" s="34">
        <f t="shared" ref="AC33:AI33" si="39">SUM(AC9:AC32)</f>
        <v>11379835.119999999</v>
      </c>
      <c r="AD33" s="34">
        <f t="shared" si="39"/>
        <v>0</v>
      </c>
      <c r="AE33" s="34">
        <f t="shared" si="39"/>
        <v>11379835.119999999</v>
      </c>
      <c r="AF33" s="34">
        <f t="shared" si="39"/>
        <v>795741.55922811141</v>
      </c>
      <c r="AG33" s="34">
        <f t="shared" si="39"/>
        <v>5304526.0815693755</v>
      </c>
      <c r="AH33" s="34">
        <f t="shared" si="39"/>
        <v>6230939.3217974864</v>
      </c>
      <c r="AI33" s="68">
        <f t="shared" si="39"/>
        <v>5148895.7982025128</v>
      </c>
    </row>
    <row r="34" spans="1:35">
      <c r="A34" s="64"/>
      <c r="B34" s="33"/>
      <c r="C34" s="33"/>
      <c r="D34" s="33"/>
      <c r="E34" s="33">
        <f>E33-Depreciation!Q155</f>
        <v>0</v>
      </c>
      <c r="F34" s="33"/>
      <c r="G34" s="33"/>
      <c r="H34" s="66">
        <f>H33-Depreciation!U155</f>
        <v>0</v>
      </c>
      <c r="J34" s="64"/>
      <c r="K34" s="33"/>
      <c r="L34" s="33"/>
      <c r="M34" s="33"/>
      <c r="N34" s="33"/>
      <c r="O34" s="33"/>
      <c r="P34" s="33"/>
      <c r="Q34" s="66"/>
      <c r="S34" s="64"/>
      <c r="T34" s="33"/>
      <c r="U34" s="33"/>
      <c r="V34" s="33"/>
      <c r="W34" s="33"/>
      <c r="X34" s="33"/>
      <c r="Y34" s="33"/>
      <c r="Z34" s="66"/>
      <c r="AB34" s="64"/>
      <c r="AC34" s="33"/>
      <c r="AD34" s="33"/>
      <c r="AE34" s="33"/>
      <c r="AF34" s="33"/>
      <c r="AG34" s="33"/>
      <c r="AH34" s="33"/>
      <c r="AI34" s="66"/>
    </row>
    <row r="35" spans="1:35" ht="12.75">
      <c r="A35" s="69" t="s">
        <v>15</v>
      </c>
      <c r="B35" s="35" t="s">
        <v>8</v>
      </c>
      <c r="C35" s="35" t="s">
        <v>9</v>
      </c>
      <c r="D35" s="35" t="s">
        <v>10</v>
      </c>
      <c r="E35" s="35" t="s">
        <v>11</v>
      </c>
      <c r="F35" s="35"/>
      <c r="G35" s="35"/>
      <c r="H35" s="70"/>
      <c r="J35" s="69" t="s">
        <v>15</v>
      </c>
      <c r="K35" s="35" t="s">
        <v>8</v>
      </c>
      <c r="L35" s="35" t="s">
        <v>9</v>
      </c>
      <c r="M35" s="35" t="s">
        <v>10</v>
      </c>
      <c r="N35" s="35" t="s">
        <v>11</v>
      </c>
      <c r="O35" s="35"/>
      <c r="P35" s="35"/>
      <c r="Q35" s="70"/>
      <c r="S35" s="69" t="s">
        <v>15</v>
      </c>
      <c r="T35" s="35" t="s">
        <v>8</v>
      </c>
      <c r="U35" s="35" t="s">
        <v>9</v>
      </c>
      <c r="V35" s="35" t="s">
        <v>10</v>
      </c>
      <c r="W35" s="35" t="s">
        <v>11</v>
      </c>
      <c r="X35" s="35"/>
      <c r="Y35" s="35"/>
      <c r="Z35" s="70"/>
      <c r="AB35" s="69" t="s">
        <v>15</v>
      </c>
      <c r="AC35" s="35" t="s">
        <v>8</v>
      </c>
      <c r="AD35" s="35" t="s">
        <v>9</v>
      </c>
      <c r="AE35" s="35" t="s">
        <v>10</v>
      </c>
      <c r="AF35" s="35" t="s">
        <v>11</v>
      </c>
      <c r="AG35" s="35"/>
      <c r="AH35" s="35"/>
      <c r="AI35" s="70"/>
    </row>
    <row r="36" spans="1:35" ht="27">
      <c r="A36" s="71"/>
      <c r="B36" s="36"/>
      <c r="C36" s="36"/>
      <c r="D36" s="36"/>
      <c r="E36" s="36"/>
      <c r="F36" s="36"/>
      <c r="G36" s="36"/>
      <c r="H36" s="72"/>
      <c r="I36" s="79" t="s">
        <v>659</v>
      </c>
      <c r="J36" s="71"/>
      <c r="K36" s="36"/>
      <c r="L36" s="36"/>
      <c r="M36" s="36"/>
      <c r="N36" s="36"/>
      <c r="O36" s="36"/>
      <c r="P36" s="36"/>
      <c r="Q36" s="72"/>
      <c r="R36" s="79" t="s">
        <v>659</v>
      </c>
      <c r="S36" s="71"/>
      <c r="T36" s="36"/>
      <c r="U36" s="36"/>
      <c r="V36" s="36"/>
      <c r="W36" s="36"/>
      <c r="X36" s="36"/>
      <c r="Y36" s="36"/>
      <c r="Z36" s="72"/>
      <c r="AA36" s="79" t="s">
        <v>660</v>
      </c>
      <c r="AB36" s="71"/>
      <c r="AC36" s="36"/>
      <c r="AD36" s="36"/>
      <c r="AE36" s="36"/>
      <c r="AF36" s="36"/>
      <c r="AG36" s="36"/>
      <c r="AH36" s="36"/>
      <c r="AI36" s="72"/>
    </row>
    <row r="37" spans="1:35" ht="15">
      <c r="A37" s="64" t="s">
        <v>16</v>
      </c>
      <c r="B37" s="20">
        <f>Depreciation!M213</f>
        <v>623992.17957264965</v>
      </c>
      <c r="C37" s="20">
        <f>B37-D37</f>
        <v>0</v>
      </c>
      <c r="D37" s="20">
        <f>Depreciation!N213</f>
        <v>623992.17957264965</v>
      </c>
      <c r="E37" s="20">
        <f>Depreciation!Q213</f>
        <v>26717.466666666667</v>
      </c>
      <c r="F37" s="20">
        <f>Depreciation!S213</f>
        <v>474850.17123931623</v>
      </c>
      <c r="G37" s="20">
        <f>Depreciation!T213</f>
        <v>501857.73790598288</v>
      </c>
      <c r="H37" s="65">
        <f>Depreciation!U213</f>
        <v>122134.44166666684</v>
      </c>
      <c r="J37" s="64" t="s">
        <v>16</v>
      </c>
      <c r="K37" s="20">
        <f>IFERROR(VLOOKUP(J37,'FAR Dep Summary'!$A$31:$F$48,2,FALSE),0)</f>
        <v>203040.20999999996</v>
      </c>
      <c r="L37" s="20">
        <f>K37-M37</f>
        <v>0</v>
      </c>
      <c r="M37" s="20">
        <f>K37</f>
        <v>203040.20999999996</v>
      </c>
      <c r="N37" s="20">
        <f>IFERROR(VLOOKUP($J37,'FAR Dep Summary'!$A$31:$F$48,3,FALSE),0)</f>
        <v>12885.81</v>
      </c>
      <c r="O37" s="20">
        <f>IFERROR(VLOOKUP($J37,'FAR Dep Summary'!$A$31:$F$48,4,FALSE),0)</f>
        <v>59614.372638889603</v>
      </c>
      <c r="P37" s="20">
        <f>IFERROR(VLOOKUP($J37,'FAR Dep Summary'!$A$31:$F$48,5,FALSE),0)</f>
        <v>73664.569444445006</v>
      </c>
      <c r="Q37" s="65">
        <f>IFERROR(VLOOKUP($J37,'FAR Dep Summary'!$A$31:$F$48,6,FALSE),0)</f>
        <v>129375.640555555</v>
      </c>
      <c r="S37" s="64" t="s">
        <v>16</v>
      </c>
      <c r="T37" s="20"/>
      <c r="U37" s="111"/>
      <c r="V37" s="111"/>
      <c r="W37" s="20"/>
      <c r="X37" s="20"/>
      <c r="Y37" s="20"/>
      <c r="Z37" s="65"/>
      <c r="AB37" s="64" t="s">
        <v>16</v>
      </c>
      <c r="AC37" s="20">
        <f t="shared" ref="AC37:AH37" si="40">B37+K37+T37</f>
        <v>827032.38957264961</v>
      </c>
      <c r="AD37" s="20">
        <f t="shared" si="40"/>
        <v>0</v>
      </c>
      <c r="AE37" s="20">
        <f t="shared" si="40"/>
        <v>827032.38957264961</v>
      </c>
      <c r="AF37" s="20">
        <f t="shared" si="40"/>
        <v>39603.276666666665</v>
      </c>
      <c r="AG37" s="20">
        <f t="shared" si="40"/>
        <v>534464.54387820582</v>
      </c>
      <c r="AH37" s="20">
        <f t="shared" si="40"/>
        <v>575522.30735042784</v>
      </c>
      <c r="AI37" s="65">
        <f>H37+Q37+Z37</f>
        <v>251510.08222222183</v>
      </c>
    </row>
    <row r="38" spans="1:35">
      <c r="A38" s="64"/>
      <c r="B38" s="20"/>
      <c r="C38" s="20"/>
      <c r="D38" s="20"/>
      <c r="E38" s="20"/>
      <c r="F38" s="20"/>
      <c r="G38" s="20"/>
      <c r="H38" s="65"/>
      <c r="J38" s="64"/>
      <c r="K38" s="20"/>
      <c r="L38" s="20"/>
      <c r="M38" s="20"/>
      <c r="N38" s="20"/>
      <c r="O38" s="20"/>
      <c r="P38" s="20"/>
      <c r="Q38" s="65"/>
      <c r="S38" s="64"/>
      <c r="T38" s="20"/>
      <c r="U38" s="20"/>
      <c r="V38" s="20"/>
      <c r="W38" s="20"/>
      <c r="X38" s="20"/>
      <c r="Y38" s="20"/>
      <c r="Z38" s="65"/>
      <c r="AB38" s="64"/>
      <c r="AC38" s="20"/>
      <c r="AD38" s="20"/>
      <c r="AE38" s="20"/>
      <c r="AF38" s="20"/>
      <c r="AG38" s="20"/>
      <c r="AH38" s="20"/>
      <c r="AI38" s="65"/>
    </row>
    <row r="39" spans="1:35" ht="15">
      <c r="A39" s="64" t="s">
        <v>17</v>
      </c>
      <c r="B39" s="20">
        <f>Depreciation!M274</f>
        <v>628846.99999999988</v>
      </c>
      <c r="C39" s="20">
        <f>B39-D39</f>
        <v>0</v>
      </c>
      <c r="D39" s="20">
        <f>Depreciation!N274</f>
        <v>628846.99999999988</v>
      </c>
      <c r="E39" s="20">
        <f>Depreciation!Q274</f>
        <v>19370.779166666667</v>
      </c>
      <c r="F39" s="20">
        <f>Depreciation!S274</f>
        <v>484807.79131944518</v>
      </c>
      <c r="G39" s="20">
        <f>Depreciation!T274</f>
        <v>506411.7371527786</v>
      </c>
      <c r="H39" s="65">
        <f>Depreciation!U274</f>
        <v>122435.26284722143</v>
      </c>
      <c r="J39" s="64" t="s">
        <v>17</v>
      </c>
      <c r="K39" s="20">
        <f>IFERROR(VLOOKUP(J39,'FAR Dep Summary'!$A$31:$F$48,2,FALSE),0)</f>
        <v>218512.79</v>
      </c>
      <c r="L39" s="20">
        <f>K39-M39</f>
        <v>0</v>
      </c>
      <c r="M39" s="20">
        <f>K39</f>
        <v>218512.79</v>
      </c>
      <c r="N39" s="20">
        <f>IFERROR(VLOOKUP($J39,'FAR Dep Summary'!$A$31:$F$48,3,FALSE),0)</f>
        <v>9640.4166666666679</v>
      </c>
      <c r="O39" s="20">
        <f>IFERROR(VLOOKUP($J39,'FAR Dep Summary'!$A$31:$F$48,4,FALSE),0)</f>
        <v>106034.00444444452</v>
      </c>
      <c r="P39" s="20">
        <f>IFERROR(VLOOKUP($J39,'FAR Dep Summary'!$A$31:$F$48,5,FALSE),0)</f>
        <v>115674.42111111118</v>
      </c>
      <c r="Q39" s="65">
        <f>IFERROR(VLOOKUP($J39,'FAR Dep Summary'!$A$31:$F$48,6,FALSE),0)</f>
        <v>102838.36888888883</v>
      </c>
      <c r="S39" s="64" t="s">
        <v>17</v>
      </c>
      <c r="T39" s="20"/>
      <c r="U39" s="111"/>
      <c r="V39" s="111"/>
      <c r="W39" s="20"/>
      <c r="X39" s="20"/>
      <c r="Y39" s="20"/>
      <c r="Z39" s="65"/>
      <c r="AB39" s="64" t="s">
        <v>17</v>
      </c>
      <c r="AC39" s="20">
        <f t="shared" ref="AC39:AI39" si="41">B39+K39+T39</f>
        <v>847359.78999999992</v>
      </c>
      <c r="AD39" s="20">
        <f t="shared" si="41"/>
        <v>0</v>
      </c>
      <c r="AE39" s="20">
        <f t="shared" si="41"/>
        <v>847359.78999999992</v>
      </c>
      <c r="AF39" s="20">
        <f t="shared" si="41"/>
        <v>29011.195833333335</v>
      </c>
      <c r="AG39" s="20">
        <f t="shared" si="41"/>
        <v>590841.79576388968</v>
      </c>
      <c r="AH39" s="20">
        <f t="shared" si="41"/>
        <v>622086.15826388984</v>
      </c>
      <c r="AI39" s="65">
        <f t="shared" si="41"/>
        <v>225273.63173611026</v>
      </c>
    </row>
    <row r="40" spans="1:35">
      <c r="A40" s="64"/>
      <c r="B40" s="20"/>
      <c r="C40" s="20"/>
      <c r="D40" s="20"/>
      <c r="E40" s="20"/>
      <c r="F40" s="20"/>
      <c r="G40" s="20"/>
      <c r="H40" s="65"/>
      <c r="J40" s="64"/>
      <c r="K40" s="20"/>
      <c r="L40" s="20"/>
      <c r="M40" s="20"/>
      <c r="N40" s="20"/>
      <c r="O40" s="20"/>
      <c r="P40" s="20"/>
      <c r="Q40" s="65"/>
      <c r="S40" s="64"/>
      <c r="T40" s="20"/>
      <c r="U40" s="20"/>
      <c r="V40" s="20"/>
      <c r="W40" s="20"/>
      <c r="X40" s="20"/>
      <c r="Y40" s="20"/>
      <c r="Z40" s="65"/>
      <c r="AB40" s="64"/>
      <c r="AC40" s="20"/>
      <c r="AD40" s="20"/>
      <c r="AE40" s="20"/>
      <c r="AF40" s="20"/>
      <c r="AG40" s="20"/>
      <c r="AH40" s="20"/>
      <c r="AI40" s="65"/>
    </row>
    <row r="41" spans="1:35">
      <c r="A41" s="64" t="s">
        <v>645</v>
      </c>
      <c r="B41" s="20">
        <f>Depreciation!M320</f>
        <v>606241.04913043487</v>
      </c>
      <c r="C41" s="20">
        <f>B41-D41</f>
        <v>0</v>
      </c>
      <c r="D41" s="20">
        <f>Depreciation!N320</f>
        <v>606241.04913043487</v>
      </c>
      <c r="E41" s="20">
        <f>Depreciation!Q320</f>
        <v>22665.01142857143</v>
      </c>
      <c r="F41" s="20">
        <f>Depreciation!S320</f>
        <v>568368.88627329085</v>
      </c>
      <c r="G41" s="20">
        <f>Depreciation!T320</f>
        <v>600760.54627329181</v>
      </c>
      <c r="H41" s="65">
        <f>Depreciation!U320</f>
        <v>5480.5028571428593</v>
      </c>
      <c r="J41" s="64" t="s">
        <v>645</v>
      </c>
      <c r="K41" s="20">
        <f>IFERROR(VLOOKUP(J41,'FAR Dep Summary'!$A$31:$F$48,2,FALSE),0)</f>
        <v>0</v>
      </c>
      <c r="L41" s="20">
        <f>K41-M41</f>
        <v>0</v>
      </c>
      <c r="M41" s="20">
        <f>K41</f>
        <v>0</v>
      </c>
      <c r="N41" s="20">
        <f>IFERROR(VLOOKUP($J41,'FAR Dep Summary'!$A$31:$F$48,3,FALSE),0)</f>
        <v>0</v>
      </c>
      <c r="O41" s="20">
        <f>IFERROR(VLOOKUP($J41,'FAR Dep Summary'!$A$31:$F$48,4,FALSE),0)</f>
        <v>0</v>
      </c>
      <c r="P41" s="20">
        <f>IFERROR(VLOOKUP($J41,'FAR Dep Summary'!$A$31:$F$48,5,FALSE),0)</f>
        <v>0</v>
      </c>
      <c r="Q41" s="65">
        <f>IFERROR(VLOOKUP($J41,'FAR Dep Summary'!$A$31:$F$48,6,FALSE),0)</f>
        <v>0</v>
      </c>
      <c r="S41" s="64" t="s">
        <v>645</v>
      </c>
      <c r="T41" s="20"/>
      <c r="U41" s="20"/>
      <c r="V41" s="20"/>
      <c r="W41" s="20"/>
      <c r="X41" s="20"/>
      <c r="Y41" s="20"/>
      <c r="Z41" s="65"/>
      <c r="AB41" s="64" t="s">
        <v>645</v>
      </c>
      <c r="AC41" s="20">
        <f t="shared" ref="AC41:AI41" si="42">B41+K41+T41</f>
        <v>606241.04913043487</v>
      </c>
      <c r="AD41" s="20">
        <f t="shared" si="42"/>
        <v>0</v>
      </c>
      <c r="AE41" s="20">
        <f t="shared" si="42"/>
        <v>606241.04913043487</v>
      </c>
      <c r="AF41" s="20">
        <f t="shared" si="42"/>
        <v>22665.01142857143</v>
      </c>
      <c r="AG41" s="20">
        <f t="shared" si="42"/>
        <v>568368.88627329085</v>
      </c>
      <c r="AH41" s="20">
        <f t="shared" si="42"/>
        <v>600760.54627329181</v>
      </c>
      <c r="AI41" s="65">
        <f t="shared" si="42"/>
        <v>5480.5028571428593</v>
      </c>
    </row>
    <row r="42" spans="1:35">
      <c r="A42" s="64"/>
      <c r="B42" s="20"/>
      <c r="C42" s="20"/>
      <c r="D42" s="20"/>
      <c r="E42" s="20"/>
      <c r="F42" s="20"/>
      <c r="G42" s="20"/>
      <c r="H42" s="65"/>
      <c r="J42" s="64"/>
      <c r="K42" s="20"/>
      <c r="L42" s="20"/>
      <c r="M42" s="20"/>
      <c r="N42" s="20"/>
      <c r="O42" s="20"/>
      <c r="P42" s="20"/>
      <c r="Q42" s="65"/>
      <c r="S42" s="64"/>
      <c r="T42" s="20"/>
      <c r="U42" s="20"/>
      <c r="V42" s="20"/>
      <c r="W42" s="20"/>
      <c r="X42" s="20"/>
      <c r="Y42" s="20"/>
      <c r="Z42" s="65"/>
      <c r="AB42" s="64"/>
      <c r="AC42" s="20"/>
      <c r="AD42" s="20"/>
      <c r="AE42" s="20"/>
      <c r="AF42" s="20"/>
      <c r="AG42" s="20"/>
      <c r="AH42" s="20"/>
      <c r="AI42" s="65"/>
    </row>
    <row r="43" spans="1:35">
      <c r="A43" s="15" t="s">
        <v>1572</v>
      </c>
      <c r="B43" s="20">
        <f>Depreciation!M335</f>
        <v>669704.46086956514</v>
      </c>
      <c r="C43" s="20">
        <f>B43-D43</f>
        <v>0</v>
      </c>
      <c r="D43" s="20">
        <f>Depreciation!N335</f>
        <v>669704.46086956514</v>
      </c>
      <c r="E43" s="20">
        <f>Depreciation!Q335</f>
        <v>13459.058571428572</v>
      </c>
      <c r="F43" s="20">
        <f>Depreciation!S335</f>
        <v>645144.98341718456</v>
      </c>
      <c r="G43" s="20">
        <f>Depreciation!T335</f>
        <v>660383.47815527942</v>
      </c>
      <c r="H43" s="65">
        <f>Depreciation!U335</f>
        <v>9320.982714285663</v>
      </c>
      <c r="J43" s="64" t="s">
        <v>18</v>
      </c>
      <c r="K43" s="124">
        <f>IFERROR(VLOOKUP(J43,'FAR Dep Summary'!$A$31:$F$48,2,FALSE),0)+'FAR Dep Summary'!B62</f>
        <v>127222.54979999999</v>
      </c>
      <c r="L43" s="124">
        <f>K43-M43</f>
        <v>0</v>
      </c>
      <c r="M43" s="124">
        <f>K43</f>
        <v>127222.54979999999</v>
      </c>
      <c r="N43" s="124">
        <f>IFERROR(VLOOKUP($J43,'FAR Dep Summary'!$A$31:$F$48,3,FALSE),0)+'FAR Dep Summary'!C62</f>
        <v>18174.649971428575</v>
      </c>
      <c r="O43" s="124">
        <f>IFERROR(VLOOKUP($J43,'FAR Dep Summary'!$A$31:$F$48,4,FALSE),0)</f>
        <v>16002.641547618834</v>
      </c>
      <c r="P43" s="124">
        <f>IFERROR(VLOOKUP($J43,'FAR Dep Summary'!$A$31:$F$48,5,FALSE),0)+'FAR Dep Summary'!E62</f>
        <v>34177.291519047401</v>
      </c>
      <c r="Q43" s="125">
        <f>IFERROR(VLOOKUP($J43,'FAR Dep Summary'!$A$31:$F$48,6,FALSE),0)+'FAR Dep Summary'!F62</f>
        <v>93045.258280952592</v>
      </c>
      <c r="S43" s="64" t="s">
        <v>18</v>
      </c>
      <c r="T43" s="20"/>
      <c r="U43" s="20"/>
      <c r="V43" s="20"/>
      <c r="W43" s="20"/>
      <c r="X43" s="20"/>
      <c r="Y43" s="20"/>
      <c r="Z43" s="65"/>
      <c r="AB43" s="64" t="s">
        <v>18</v>
      </c>
      <c r="AC43" s="20">
        <f t="shared" ref="AC43:AI43" si="43">B43+K43+T43</f>
        <v>796927.01066956518</v>
      </c>
      <c r="AD43" s="20">
        <f t="shared" si="43"/>
        <v>0</v>
      </c>
      <c r="AE43" s="20">
        <f t="shared" si="43"/>
        <v>796927.01066956518</v>
      </c>
      <c r="AF43" s="20">
        <f t="shared" si="43"/>
        <v>31633.708542857144</v>
      </c>
      <c r="AG43" s="20">
        <f t="shared" si="43"/>
        <v>661147.62496480334</v>
      </c>
      <c r="AH43" s="20">
        <f t="shared" si="43"/>
        <v>694560.76967432676</v>
      </c>
      <c r="AI43" s="65">
        <f t="shared" si="43"/>
        <v>102366.24099523826</v>
      </c>
    </row>
    <row r="44" spans="1:35">
      <c r="A44" s="64"/>
      <c r="B44" s="20"/>
      <c r="C44" s="20"/>
      <c r="D44" s="20"/>
      <c r="E44" s="20"/>
      <c r="F44" s="20"/>
      <c r="G44" s="20"/>
      <c r="H44" s="65"/>
      <c r="J44" s="64"/>
      <c r="K44" s="20"/>
      <c r="L44" s="20"/>
      <c r="M44" s="20"/>
      <c r="N44" s="20"/>
      <c r="O44" s="20"/>
      <c r="P44" s="20"/>
      <c r="Q44" s="65"/>
      <c r="S44" s="64"/>
      <c r="T44" s="20"/>
      <c r="U44" s="20"/>
      <c r="V44" s="20"/>
      <c r="W44" s="20"/>
      <c r="X44" s="20"/>
      <c r="Y44" s="20"/>
      <c r="Z44" s="65"/>
      <c r="AB44" s="64"/>
      <c r="AC44" s="20"/>
      <c r="AD44" s="20"/>
      <c r="AE44" s="20"/>
      <c r="AF44" s="20"/>
      <c r="AG44" s="20"/>
      <c r="AH44" s="20"/>
      <c r="AI44" s="65"/>
    </row>
    <row r="45" spans="1:35" ht="15">
      <c r="A45" s="64" t="s">
        <v>573</v>
      </c>
      <c r="B45" s="20">
        <f>+Depreciation!M363</f>
        <v>216942.13000000003</v>
      </c>
      <c r="C45" s="20">
        <f>B45-D45</f>
        <v>0</v>
      </c>
      <c r="D45" s="20">
        <f>+Depreciation!N363</f>
        <v>216942.13000000003</v>
      </c>
      <c r="E45" s="20">
        <f>+Depreciation!Q363</f>
        <v>30991.732857142862</v>
      </c>
      <c r="F45" s="20">
        <f>+Depreciation!S363</f>
        <v>120032.37059523794</v>
      </c>
      <c r="G45" s="20">
        <f>+Depreciation!T363</f>
        <v>151024.10345238078</v>
      </c>
      <c r="H45" s="65">
        <f>+Depreciation!U363</f>
        <v>65918.026547619214</v>
      </c>
      <c r="J45" s="64" t="s">
        <v>573</v>
      </c>
      <c r="K45" s="124">
        <f>IFERROR(VLOOKUP(J45,'FAR Dep Summary'!$A$31:$F$48,2,FALSE),0)+'FAR Dep Summary'!B61</f>
        <v>246579.96750000003</v>
      </c>
      <c r="L45" s="124">
        <f>K45-M45</f>
        <v>0</v>
      </c>
      <c r="M45" s="124">
        <f>K45</f>
        <v>246579.96750000003</v>
      </c>
      <c r="N45" s="124">
        <f>IFERROR(VLOOKUP($J45,'FAR Dep Summary'!$A$31:$F$48,3,FALSE),0)+'FAR Dep Summary'!C61</f>
        <v>35225.709642857139</v>
      </c>
      <c r="O45" s="124">
        <f>IFERROR(VLOOKUP($J45,'FAR Dep Summary'!$A$31:$F$48,4,FALSE),0)</f>
        <v>28679.014047619377</v>
      </c>
      <c r="P45" s="124">
        <f>IFERROR(VLOOKUP($J45,'FAR Dep Summary'!$A$31:$F$48,5,FALSE),0)+'FAR Dep Summary'!E61</f>
        <v>63904.72369047653</v>
      </c>
      <c r="Q45" s="125">
        <f>IFERROR(VLOOKUP($J45,'FAR Dep Summary'!$A$31:$F$48,6,FALSE),0)+'FAR Dep Summary'!F61</f>
        <v>182675.24380952347</v>
      </c>
      <c r="S45" s="64" t="s">
        <v>573</v>
      </c>
      <c r="T45" s="20"/>
      <c r="U45" s="111"/>
      <c r="V45" s="111"/>
      <c r="W45" s="20"/>
      <c r="X45" s="20"/>
      <c r="Y45" s="20"/>
      <c r="Z45" s="65"/>
      <c r="AB45" s="64" t="s">
        <v>573</v>
      </c>
      <c r="AC45" s="20">
        <f>B45+K45+T45</f>
        <v>463522.09750000003</v>
      </c>
      <c r="AD45" s="20">
        <f t="shared" ref="AD45:AI45" si="44">C45+L45+U45</f>
        <v>0</v>
      </c>
      <c r="AE45" s="20">
        <f t="shared" si="44"/>
        <v>463522.09750000003</v>
      </c>
      <c r="AF45" s="20">
        <f t="shared" si="44"/>
        <v>66217.442500000005</v>
      </c>
      <c r="AG45" s="20">
        <f t="shared" si="44"/>
        <v>148711.3846428573</v>
      </c>
      <c r="AH45" s="20">
        <f t="shared" si="44"/>
        <v>214928.82714285731</v>
      </c>
      <c r="AI45" s="65">
        <f t="shared" si="44"/>
        <v>248593.27035714267</v>
      </c>
    </row>
    <row r="46" spans="1:35">
      <c r="A46" s="64"/>
      <c r="B46" s="20"/>
      <c r="C46" s="20"/>
      <c r="D46" s="20"/>
      <c r="E46" s="20"/>
      <c r="F46" s="20"/>
      <c r="G46" s="20"/>
      <c r="H46" s="65"/>
      <c r="J46" s="64"/>
      <c r="K46" s="20"/>
      <c r="L46" s="20"/>
      <c r="M46" s="20"/>
      <c r="N46" s="20"/>
      <c r="O46" s="20"/>
      <c r="P46" s="20"/>
      <c r="Q46" s="65"/>
      <c r="S46" s="64"/>
      <c r="T46" s="20"/>
      <c r="U46" s="20"/>
      <c r="V46" s="20"/>
      <c r="W46" s="20"/>
      <c r="X46" s="20"/>
      <c r="Y46" s="20"/>
      <c r="Z46" s="65"/>
      <c r="AB46" s="64"/>
      <c r="AC46" s="20"/>
      <c r="AD46" s="20"/>
      <c r="AE46" s="20"/>
      <c r="AF46" s="20"/>
      <c r="AG46" s="20"/>
      <c r="AH46" s="20"/>
      <c r="AI46" s="65"/>
    </row>
    <row r="47" spans="1:35" ht="15">
      <c r="A47" s="64" t="s">
        <v>574</v>
      </c>
      <c r="B47" s="20">
        <f>+Depreciation!M378</f>
        <v>175335.82000000004</v>
      </c>
      <c r="C47" s="20">
        <f>B47-D47</f>
        <v>0</v>
      </c>
      <c r="D47" s="20">
        <f>+Depreciation!N378</f>
        <v>175335.82000000004</v>
      </c>
      <c r="E47" s="20">
        <f>+Depreciation!P378</f>
        <v>25047.974285714288</v>
      </c>
      <c r="F47" s="20">
        <f>+Depreciation!S378</f>
        <v>93532.064285715125</v>
      </c>
      <c r="G47" s="20">
        <f>+Depreciation!T378</f>
        <v>118580.03857142944</v>
      </c>
      <c r="H47" s="65">
        <f>+Depreciation!U378</f>
        <v>56755.781428570568</v>
      </c>
      <c r="J47" s="64" t="s">
        <v>574</v>
      </c>
      <c r="K47" s="20">
        <f>IFERROR(VLOOKUP(J47,'FAR Dep Summary'!$A$31:$F$48,2,FALSE),0)</f>
        <v>45822.07</v>
      </c>
      <c r="L47" s="20">
        <f>K47-M47</f>
        <v>0</v>
      </c>
      <c r="M47" s="20">
        <f>K47</f>
        <v>45822.07</v>
      </c>
      <c r="N47" s="20">
        <f>IFERROR(VLOOKUP($J47,'FAR Dep Summary'!$A$31:$F$48,3,FALSE),0)</f>
        <v>6546.01</v>
      </c>
      <c r="O47" s="20">
        <f>IFERROR(VLOOKUP($J47,'FAR Dep Summary'!$A$31:$F$48,4,FALSE),0)</f>
        <v>6546.0099999999948</v>
      </c>
      <c r="P47" s="20">
        <f>IFERROR(VLOOKUP($J47,'FAR Dep Summary'!$A$31:$F$48,5,FALSE),0)</f>
        <v>13092.019999999995</v>
      </c>
      <c r="Q47" s="65">
        <f>IFERROR(VLOOKUP($J47,'FAR Dep Summary'!$A$31:$F$48,6,FALSE),0)</f>
        <v>32730.050000000003</v>
      </c>
      <c r="S47" s="64" t="s">
        <v>574</v>
      </c>
      <c r="T47" s="20"/>
      <c r="U47" s="111"/>
      <c r="V47" s="111"/>
      <c r="W47" s="20"/>
      <c r="X47" s="20"/>
      <c r="Y47" s="20"/>
      <c r="Z47" s="65"/>
      <c r="AB47" s="64" t="s">
        <v>574</v>
      </c>
      <c r="AC47" s="20">
        <f t="shared" ref="AC47:AI47" si="45">B47+K47+T47</f>
        <v>221157.89000000004</v>
      </c>
      <c r="AD47" s="20">
        <f t="shared" si="45"/>
        <v>0</v>
      </c>
      <c r="AE47" s="20">
        <f t="shared" si="45"/>
        <v>221157.89000000004</v>
      </c>
      <c r="AF47" s="20">
        <f t="shared" si="45"/>
        <v>31593.984285714287</v>
      </c>
      <c r="AG47" s="20">
        <f t="shared" si="45"/>
        <v>100078.07428571512</v>
      </c>
      <c r="AH47" s="20">
        <f t="shared" si="45"/>
        <v>131672.05857142943</v>
      </c>
      <c r="AI47" s="65">
        <f t="shared" si="45"/>
        <v>89485.831428570571</v>
      </c>
    </row>
    <row r="48" spans="1:35">
      <c r="A48" s="64"/>
      <c r="B48" s="20"/>
      <c r="C48" s="20"/>
      <c r="D48" s="20"/>
      <c r="E48" s="20"/>
      <c r="F48" s="20"/>
      <c r="G48" s="20"/>
      <c r="H48" s="65"/>
      <c r="J48" s="64"/>
      <c r="K48" s="20"/>
      <c r="L48" s="20"/>
      <c r="M48" s="20"/>
      <c r="N48" s="20"/>
      <c r="O48" s="20"/>
      <c r="P48" s="20"/>
      <c r="Q48" s="65"/>
      <c r="S48" s="64"/>
      <c r="T48" s="20"/>
      <c r="U48" s="20"/>
      <c r="V48" s="20"/>
      <c r="W48" s="20"/>
      <c r="X48" s="20"/>
      <c r="Y48" s="20"/>
      <c r="Z48" s="65"/>
      <c r="AB48" s="64"/>
      <c r="AC48" s="20"/>
      <c r="AD48" s="20"/>
      <c r="AE48" s="20"/>
      <c r="AF48" s="20"/>
      <c r="AG48" s="20"/>
      <c r="AH48" s="20"/>
      <c r="AI48" s="65"/>
    </row>
    <row r="49" spans="1:35">
      <c r="A49" s="64" t="s">
        <v>19</v>
      </c>
      <c r="B49" s="20">
        <f>Depreciation!M397</f>
        <v>240064.7</v>
      </c>
      <c r="C49" s="20">
        <f>B49-D49</f>
        <v>0</v>
      </c>
      <c r="D49" s="20">
        <f>Depreciation!N397</f>
        <v>240064.7</v>
      </c>
      <c r="E49" s="20">
        <f>Depreciation!Q397</f>
        <v>18188</v>
      </c>
      <c r="F49" s="20">
        <f>Depreciation!S397</f>
        <v>187905.36666666609</v>
      </c>
      <c r="G49" s="20">
        <f>Depreciation!T397</f>
        <v>206093.36666666609</v>
      </c>
      <c r="H49" s="65">
        <f>Depreciation!U397</f>
        <v>33971.333333333903</v>
      </c>
      <c r="J49" s="64" t="s">
        <v>19</v>
      </c>
      <c r="K49" s="20">
        <f>IFERROR(VLOOKUP(J49,'FAR Dep Summary'!$A$31:$F$48,2,FALSE),0)</f>
        <v>0</v>
      </c>
      <c r="L49" s="20">
        <f>K49-M49</f>
        <v>0</v>
      </c>
      <c r="M49" s="20">
        <f>K49</f>
        <v>0</v>
      </c>
      <c r="N49" s="20">
        <f>IFERROR(VLOOKUP($J49,'FAR Dep Summary'!$A$31:$F$48,3,FALSE),0)</f>
        <v>0</v>
      </c>
      <c r="O49" s="20">
        <f>IFERROR(VLOOKUP($J49,'FAR Dep Summary'!$A$31:$F$48,4,FALSE),0)</f>
        <v>0</v>
      </c>
      <c r="P49" s="20">
        <f>IFERROR(VLOOKUP($J49,'FAR Dep Summary'!$A$31:$F$48,5,FALSE),0)</f>
        <v>0</v>
      </c>
      <c r="Q49" s="65">
        <f>IFERROR(VLOOKUP($J49,'FAR Dep Summary'!$A$31:$F$48,6,FALSE),0)</f>
        <v>0</v>
      </c>
      <c r="S49" s="64" t="s">
        <v>19</v>
      </c>
      <c r="T49" s="20"/>
      <c r="U49" s="20"/>
      <c r="V49" s="20"/>
      <c r="W49" s="20"/>
      <c r="X49" s="20"/>
      <c r="Y49" s="20"/>
      <c r="Z49" s="65"/>
      <c r="AB49" s="64" t="s">
        <v>19</v>
      </c>
      <c r="AC49" s="20">
        <f t="shared" ref="AC49:AI49" si="46">B49+K49+T49</f>
        <v>240064.7</v>
      </c>
      <c r="AD49" s="20">
        <f t="shared" si="46"/>
        <v>0</v>
      </c>
      <c r="AE49" s="20">
        <f t="shared" si="46"/>
        <v>240064.7</v>
      </c>
      <c r="AF49" s="20">
        <f t="shared" si="46"/>
        <v>18188</v>
      </c>
      <c r="AG49" s="20">
        <f t="shared" si="46"/>
        <v>187905.36666666609</v>
      </c>
      <c r="AH49" s="20">
        <f t="shared" si="46"/>
        <v>206093.36666666609</v>
      </c>
      <c r="AI49" s="65">
        <f t="shared" si="46"/>
        <v>33971.333333333903</v>
      </c>
    </row>
    <row r="50" spans="1:35">
      <c r="A50" s="64"/>
      <c r="B50" s="20"/>
      <c r="C50" s="20"/>
      <c r="D50" s="20"/>
      <c r="E50" s="20"/>
      <c r="F50" s="20"/>
      <c r="G50" s="20"/>
      <c r="H50" s="65"/>
      <c r="J50" s="64"/>
      <c r="K50" s="20"/>
      <c r="L50" s="20"/>
      <c r="M50" s="20"/>
      <c r="N50" s="20"/>
      <c r="O50" s="20"/>
      <c r="P50" s="20"/>
      <c r="Q50" s="65"/>
      <c r="S50" s="64"/>
      <c r="T50" s="20"/>
      <c r="U50" s="20"/>
      <c r="V50" s="20"/>
      <c r="W50" s="20"/>
      <c r="X50" s="20"/>
      <c r="Y50" s="20"/>
      <c r="Z50" s="65"/>
      <c r="AB50" s="64"/>
      <c r="AC50" s="20"/>
      <c r="AD50" s="20"/>
      <c r="AE50" s="20"/>
      <c r="AF50" s="20"/>
      <c r="AG50" s="20"/>
      <c r="AH50" s="20"/>
      <c r="AI50" s="65"/>
    </row>
    <row r="51" spans="1:35">
      <c r="A51" s="64" t="s">
        <v>431</v>
      </c>
      <c r="B51" s="20">
        <f>Depreciation!M405</f>
        <v>73590.12</v>
      </c>
      <c r="C51" s="20">
        <f>B51-D51</f>
        <v>0</v>
      </c>
      <c r="D51" s="20">
        <f>Depreciation!N405</f>
        <v>73590.12</v>
      </c>
      <c r="E51" s="20">
        <f>Depreciation!Q405</f>
        <v>0</v>
      </c>
      <c r="F51" s="20">
        <f>Depreciation!S405</f>
        <v>73590.12</v>
      </c>
      <c r="G51" s="20">
        <f>Depreciation!T405</f>
        <v>73590.12</v>
      </c>
      <c r="H51" s="65">
        <f>Depreciation!U405</f>
        <v>0</v>
      </c>
      <c r="J51" s="64" t="s">
        <v>431</v>
      </c>
      <c r="K51" s="20">
        <f>IFERROR(VLOOKUP(J51,'FAR Dep Summary'!$A$31:$F$48,2,FALSE),0)</f>
        <v>0</v>
      </c>
      <c r="L51" s="20">
        <f>K51-M51</f>
        <v>0</v>
      </c>
      <c r="M51" s="20">
        <f>K51</f>
        <v>0</v>
      </c>
      <c r="N51" s="20">
        <f>IFERROR(VLOOKUP($J51,'FAR Dep Summary'!$A$31:$F$48,3,FALSE),0)</f>
        <v>0</v>
      </c>
      <c r="O51" s="20">
        <f>IFERROR(VLOOKUP($J51,'FAR Dep Summary'!$A$31:$F$48,4,FALSE),0)</f>
        <v>0</v>
      </c>
      <c r="P51" s="20">
        <f>IFERROR(VLOOKUP($J51,'FAR Dep Summary'!$A$31:$F$48,5,FALSE),0)</f>
        <v>0</v>
      </c>
      <c r="Q51" s="65">
        <f>IFERROR(VLOOKUP($J51,'FAR Dep Summary'!$A$31:$F$48,6,FALSE),0)</f>
        <v>0</v>
      </c>
      <c r="S51" s="64" t="s">
        <v>431</v>
      </c>
      <c r="T51" s="20"/>
      <c r="U51" s="20"/>
      <c r="V51" s="20"/>
      <c r="W51" s="20"/>
      <c r="X51" s="20"/>
      <c r="Y51" s="20"/>
      <c r="Z51" s="65"/>
      <c r="AB51" s="64" t="s">
        <v>431</v>
      </c>
      <c r="AC51" s="20">
        <f t="shared" ref="AC51:AI51" si="47">B51+K51+T51</f>
        <v>73590.12</v>
      </c>
      <c r="AD51" s="20">
        <f t="shared" si="47"/>
        <v>0</v>
      </c>
      <c r="AE51" s="20">
        <f t="shared" si="47"/>
        <v>73590.12</v>
      </c>
      <c r="AF51" s="20">
        <f t="shared" si="47"/>
        <v>0</v>
      </c>
      <c r="AG51" s="20">
        <f t="shared" si="47"/>
        <v>73590.12</v>
      </c>
      <c r="AH51" s="20">
        <f t="shared" si="47"/>
        <v>73590.12</v>
      </c>
      <c r="AI51" s="65">
        <f t="shared" si="47"/>
        <v>0</v>
      </c>
    </row>
    <row r="52" spans="1:35">
      <c r="A52" s="64"/>
      <c r="B52" s="20"/>
      <c r="C52" s="20"/>
      <c r="D52" s="20"/>
      <c r="E52" s="20"/>
      <c r="F52" s="20"/>
      <c r="G52" s="20"/>
      <c r="H52" s="65"/>
      <c r="J52" s="64"/>
      <c r="K52" s="20"/>
      <c r="L52" s="20"/>
      <c r="M52" s="20"/>
      <c r="N52" s="20"/>
      <c r="O52" s="20"/>
      <c r="P52" s="20"/>
      <c r="Q52" s="65"/>
      <c r="S52" s="64"/>
      <c r="T52" s="20"/>
      <c r="U52" s="20"/>
      <c r="V52" s="20"/>
      <c r="W52" s="20"/>
      <c r="X52" s="20"/>
      <c r="Y52" s="20"/>
      <c r="Z52" s="65"/>
      <c r="AB52" s="64"/>
      <c r="AC52" s="20"/>
      <c r="AD52" s="20"/>
      <c r="AE52" s="20"/>
      <c r="AF52" s="20"/>
      <c r="AG52" s="20"/>
      <c r="AH52" s="20"/>
      <c r="AI52" s="65"/>
    </row>
    <row r="53" spans="1:35">
      <c r="A53" s="64" t="s">
        <v>364</v>
      </c>
      <c r="B53" s="20">
        <f>Depreciation!M418</f>
        <v>176827.66999999998</v>
      </c>
      <c r="C53" s="20">
        <f>B53-D53</f>
        <v>0</v>
      </c>
      <c r="D53" s="20">
        <f>Depreciation!N418</f>
        <v>176827.66999999998</v>
      </c>
      <c r="E53" s="20">
        <f>Depreciation!Q418</f>
        <v>7629.8457142857142</v>
      </c>
      <c r="F53" s="20">
        <f>Depreciation!S418</f>
        <v>155970.04928571469</v>
      </c>
      <c r="G53" s="20">
        <f>Depreciation!T418</f>
        <v>163599.8950000004</v>
      </c>
      <c r="H53" s="65">
        <f>Depreciation!U418</f>
        <v>13227.774999999596</v>
      </c>
      <c r="J53" s="64" t="s">
        <v>364</v>
      </c>
      <c r="K53" s="20">
        <f>IFERROR(VLOOKUP(J53,'FAR Dep Summary'!$A$31:$F$48,2,FALSE),0)</f>
        <v>416595.11</v>
      </c>
      <c r="L53" s="20">
        <f>K53-M53</f>
        <v>0</v>
      </c>
      <c r="M53" s="20">
        <f>K53</f>
        <v>416595.11</v>
      </c>
      <c r="N53" s="20">
        <f>IFERROR(VLOOKUP($J53,'FAR Dep Summary'!$A$31:$F$48,3,FALSE),0)</f>
        <v>42578.723857142853</v>
      </c>
      <c r="O53" s="20">
        <f>IFERROR(VLOOKUP($J53,'FAR Dep Summary'!$A$31:$F$48,4,FALSE),0)</f>
        <v>32032.182773809771</v>
      </c>
      <c r="P53" s="20">
        <f>IFERROR(VLOOKUP($J53,'FAR Dep Summary'!$A$31:$F$48,5,FALSE),0)</f>
        <v>74610.906630952624</v>
      </c>
      <c r="Q53" s="65">
        <f>IFERROR(VLOOKUP($J53,'FAR Dep Summary'!$A$31:$F$48,6,FALSE),0)</f>
        <v>341984.20336904738</v>
      </c>
      <c r="S53" s="64" t="s">
        <v>364</v>
      </c>
      <c r="T53" s="20"/>
      <c r="U53" s="20"/>
      <c r="V53" s="20"/>
      <c r="W53" s="20"/>
      <c r="X53" s="20"/>
      <c r="Y53" s="20"/>
      <c r="Z53" s="65"/>
      <c r="AB53" s="64" t="s">
        <v>364</v>
      </c>
      <c r="AC53" s="20">
        <f t="shared" ref="AC53:AI53" si="48">B53+K53+T53</f>
        <v>593422.78</v>
      </c>
      <c r="AD53" s="20">
        <f t="shared" si="48"/>
        <v>0</v>
      </c>
      <c r="AE53" s="20">
        <f t="shared" si="48"/>
        <v>593422.78</v>
      </c>
      <c r="AF53" s="20">
        <f t="shared" si="48"/>
        <v>50208.569571428568</v>
      </c>
      <c r="AG53" s="20">
        <f t="shared" si="48"/>
        <v>188002.23205952445</v>
      </c>
      <c r="AH53" s="20">
        <f t="shared" si="48"/>
        <v>238210.80163095304</v>
      </c>
      <c r="AI53" s="65">
        <f t="shared" si="48"/>
        <v>355211.97836904699</v>
      </c>
    </row>
    <row r="54" spans="1:35">
      <c r="A54" s="64"/>
      <c r="B54" s="20"/>
      <c r="C54" s="20"/>
      <c r="D54" s="20"/>
      <c r="E54" s="20"/>
      <c r="F54" s="20"/>
      <c r="G54" s="20"/>
      <c r="H54" s="65"/>
      <c r="J54" s="64"/>
      <c r="K54" s="20"/>
      <c r="L54" s="20"/>
      <c r="M54" s="20"/>
      <c r="N54" s="20"/>
      <c r="O54" s="20"/>
      <c r="P54" s="20"/>
      <c r="Q54" s="65"/>
      <c r="S54" s="64"/>
      <c r="T54" s="20"/>
      <c r="U54" s="20"/>
      <c r="V54" s="20"/>
      <c r="W54" s="20"/>
      <c r="X54" s="20"/>
      <c r="Y54" s="20"/>
      <c r="Z54" s="65"/>
      <c r="AB54" s="64"/>
      <c r="AC54" s="20"/>
      <c r="AD54" s="20"/>
      <c r="AE54" s="20"/>
      <c r="AF54" s="20"/>
      <c r="AG54" s="20"/>
      <c r="AH54" s="20"/>
      <c r="AI54" s="65"/>
    </row>
    <row r="55" spans="1:35">
      <c r="A55" s="64" t="s">
        <v>370</v>
      </c>
      <c r="B55" s="20">
        <f>Depreciation!M424</f>
        <v>20071.59</v>
      </c>
      <c r="C55" s="20">
        <f>B55-D55</f>
        <v>0</v>
      </c>
      <c r="D55" s="20">
        <f>Depreciation!N424</f>
        <v>20071.59</v>
      </c>
      <c r="E55" s="20">
        <f>Depreciation!Q424</f>
        <v>522.99428571428575</v>
      </c>
      <c r="F55" s="20">
        <f>Depreciation!S424</f>
        <v>18982.018571428613</v>
      </c>
      <c r="G55" s="20">
        <f>Depreciation!T424</f>
        <v>19505.012857142898</v>
      </c>
      <c r="H55" s="65">
        <f>Depreciation!U424</f>
        <v>566.57714285710335</v>
      </c>
      <c r="J55" s="64" t="s">
        <v>370</v>
      </c>
      <c r="K55" s="20">
        <f>IFERROR(VLOOKUP(J55,'FAR Dep Summary'!$A$31:$F$48,2,FALSE),0)</f>
        <v>0</v>
      </c>
      <c r="L55" s="20">
        <f>K55-M55</f>
        <v>0</v>
      </c>
      <c r="M55" s="20">
        <f>K55</f>
        <v>0</v>
      </c>
      <c r="N55" s="20">
        <f>IFERROR(VLOOKUP($J55,'FAR Dep Summary'!$A$31:$F$48,3,FALSE),0)</f>
        <v>0</v>
      </c>
      <c r="O55" s="20">
        <f>IFERROR(VLOOKUP($J55,'FAR Dep Summary'!$A$31:$F$48,4,FALSE),0)</f>
        <v>0</v>
      </c>
      <c r="P55" s="20">
        <f>IFERROR(VLOOKUP($J55,'FAR Dep Summary'!$A$31:$F$48,5,FALSE),0)</f>
        <v>0</v>
      </c>
      <c r="Q55" s="65">
        <f>IFERROR(VLOOKUP($J55,'FAR Dep Summary'!$A$31:$F$48,6,FALSE),0)</f>
        <v>0</v>
      </c>
      <c r="S55" s="64" t="s">
        <v>370</v>
      </c>
      <c r="T55" s="20"/>
      <c r="U55" s="20"/>
      <c r="V55" s="20"/>
      <c r="W55" s="20"/>
      <c r="X55" s="20"/>
      <c r="Y55" s="20"/>
      <c r="Z55" s="65"/>
      <c r="AB55" s="64" t="s">
        <v>370</v>
      </c>
      <c r="AC55" s="20">
        <f t="shared" ref="AC55:AI55" si="49">B55+K55+T55</f>
        <v>20071.59</v>
      </c>
      <c r="AD55" s="20">
        <f t="shared" si="49"/>
        <v>0</v>
      </c>
      <c r="AE55" s="20">
        <f t="shared" si="49"/>
        <v>20071.59</v>
      </c>
      <c r="AF55" s="20">
        <f t="shared" si="49"/>
        <v>522.99428571428575</v>
      </c>
      <c r="AG55" s="20">
        <f t="shared" si="49"/>
        <v>18982.018571428613</v>
      </c>
      <c r="AH55" s="20">
        <f t="shared" si="49"/>
        <v>19505.012857142898</v>
      </c>
      <c r="AI55" s="65">
        <f t="shared" si="49"/>
        <v>566.57714285710335</v>
      </c>
    </row>
    <row r="56" spans="1:35">
      <c r="A56" s="64"/>
      <c r="B56" s="20"/>
      <c r="C56" s="20"/>
      <c r="D56" s="20"/>
      <c r="E56" s="20"/>
      <c r="F56" s="20"/>
      <c r="G56" s="20"/>
      <c r="H56" s="65"/>
      <c r="J56" s="64"/>
      <c r="K56" s="20"/>
      <c r="L56" s="20"/>
      <c r="M56" s="20"/>
      <c r="N56" s="20"/>
      <c r="O56" s="20"/>
      <c r="P56" s="20"/>
      <c r="Q56" s="65"/>
      <c r="S56" s="64"/>
      <c r="T56" s="20"/>
      <c r="U56" s="20"/>
      <c r="V56" s="20"/>
      <c r="W56" s="20"/>
      <c r="X56" s="20"/>
      <c r="Y56" s="20"/>
      <c r="Z56" s="65"/>
      <c r="AB56" s="64"/>
      <c r="AC56" s="20"/>
      <c r="AD56" s="20"/>
      <c r="AE56" s="20"/>
      <c r="AF56" s="20"/>
      <c r="AG56" s="20"/>
      <c r="AH56" s="20"/>
      <c r="AI56" s="65"/>
    </row>
    <row r="57" spans="1:35">
      <c r="A57" s="64" t="s">
        <v>372</v>
      </c>
      <c r="B57" s="20">
        <f>Depreciation!M429</f>
        <v>24000</v>
      </c>
      <c r="C57" s="20">
        <f>B57-D57</f>
        <v>0</v>
      </c>
      <c r="D57" s="20">
        <f>Depreciation!N427</f>
        <v>24000</v>
      </c>
      <c r="E57" s="20">
        <f>Depreciation!Q427</f>
        <v>3428.5714285714284</v>
      </c>
      <c r="F57" s="20">
        <f>Depreciation!S427</f>
        <v>19714.285714285714</v>
      </c>
      <c r="G57" s="20">
        <f>Depreciation!T427</f>
        <v>23142.857142857141</v>
      </c>
      <c r="H57" s="65">
        <f>Depreciation!U427</f>
        <v>857.1428571428587</v>
      </c>
      <c r="J57" s="64" t="s">
        <v>372</v>
      </c>
      <c r="K57" s="20">
        <f>IFERROR(VLOOKUP(J57,'FAR Dep Summary'!$A$31:$F$48,2,FALSE),0)</f>
        <v>9873.5</v>
      </c>
      <c r="L57" s="20">
        <f>K57-M57</f>
        <v>0</v>
      </c>
      <c r="M57" s="20">
        <f>K57</f>
        <v>9873.5</v>
      </c>
      <c r="N57" s="20">
        <f>IFERROR(VLOOKUP($J57,'FAR Dep Summary'!$A$31:$F$48,3,FALSE),0)</f>
        <v>1410.5</v>
      </c>
      <c r="O57" s="20">
        <f>IFERROR(VLOOKUP($J57,'FAR Dep Summary'!$A$31:$F$48,4,FALSE),0)</f>
        <v>2468.375</v>
      </c>
      <c r="P57" s="20">
        <f>IFERROR(VLOOKUP($J57,'FAR Dep Summary'!$A$31:$F$48,5,FALSE),0)</f>
        <v>3878.875</v>
      </c>
      <c r="Q57" s="65">
        <f>IFERROR(VLOOKUP($J57,'FAR Dep Summary'!$A$31:$F$48,6,FALSE),0)</f>
        <v>5994.625</v>
      </c>
      <c r="S57" s="64" t="s">
        <v>372</v>
      </c>
      <c r="T57" s="20"/>
      <c r="U57" s="20"/>
      <c r="V57" s="20"/>
      <c r="W57" s="20"/>
      <c r="X57" s="20"/>
      <c r="Y57" s="20"/>
      <c r="Z57" s="65"/>
      <c r="AB57" s="64" t="s">
        <v>372</v>
      </c>
      <c r="AC57" s="20">
        <f t="shared" ref="AC57:AI57" si="50">B57+K57+T57</f>
        <v>33873.5</v>
      </c>
      <c r="AD57" s="20">
        <f t="shared" si="50"/>
        <v>0</v>
      </c>
      <c r="AE57" s="20">
        <f t="shared" si="50"/>
        <v>33873.5</v>
      </c>
      <c r="AF57" s="20">
        <f t="shared" si="50"/>
        <v>4839.0714285714284</v>
      </c>
      <c r="AG57" s="20">
        <f t="shared" si="50"/>
        <v>22182.660714285714</v>
      </c>
      <c r="AH57" s="20">
        <f t="shared" si="50"/>
        <v>27021.732142857141</v>
      </c>
      <c r="AI57" s="65">
        <f t="shared" si="50"/>
        <v>6851.7678571428587</v>
      </c>
    </row>
    <row r="58" spans="1:35">
      <c r="A58" s="64"/>
      <c r="B58" s="33"/>
      <c r="C58" s="33"/>
      <c r="D58" s="33"/>
      <c r="E58" s="33"/>
      <c r="F58" s="33"/>
      <c r="G58" s="33"/>
      <c r="H58" s="66"/>
      <c r="J58" s="64"/>
      <c r="K58" s="33"/>
      <c r="L58" s="33"/>
      <c r="M58" s="33"/>
      <c r="N58" s="33"/>
      <c r="O58" s="33"/>
      <c r="P58" s="33"/>
      <c r="Q58" s="66"/>
      <c r="S58" s="64"/>
      <c r="T58" s="33"/>
      <c r="U58" s="33"/>
      <c r="V58" s="33"/>
      <c r="W58" s="33"/>
      <c r="X58" s="33"/>
      <c r="Y58" s="33"/>
      <c r="Z58" s="66"/>
      <c r="AB58" s="64"/>
      <c r="AC58" s="33"/>
      <c r="AD58" s="33"/>
      <c r="AE58" s="33"/>
      <c r="AF58" s="33"/>
      <c r="AG58" s="33"/>
      <c r="AH58" s="33"/>
      <c r="AI58" s="66"/>
    </row>
    <row r="59" spans="1:35" s="16" customFormat="1">
      <c r="A59" s="67" t="s">
        <v>20</v>
      </c>
      <c r="B59" s="34">
        <f t="shared" ref="B59:H59" si="51">SUM(B37:B58)</f>
        <v>3455616.7195726493</v>
      </c>
      <c r="C59" s="34">
        <f t="shared" si="51"/>
        <v>0</v>
      </c>
      <c r="D59" s="34">
        <f t="shared" si="51"/>
        <v>3455616.7195726493</v>
      </c>
      <c r="E59" s="34">
        <f t="shared" si="51"/>
        <v>168021.43440476191</v>
      </c>
      <c r="F59" s="34">
        <f t="shared" si="51"/>
        <v>2842898.1073682848</v>
      </c>
      <c r="G59" s="34">
        <f t="shared" si="51"/>
        <v>3024948.8931778097</v>
      </c>
      <c r="H59" s="68">
        <f t="shared" si="51"/>
        <v>430667.82639484009</v>
      </c>
      <c r="I59" s="53"/>
      <c r="J59" s="67" t="s">
        <v>20</v>
      </c>
      <c r="K59" s="34">
        <f t="shared" ref="K59:Q59" si="52">SUM(K37:K58)</f>
        <v>1267646.1973000001</v>
      </c>
      <c r="L59" s="34">
        <f t="shared" si="52"/>
        <v>0</v>
      </c>
      <c r="M59" s="34">
        <f t="shared" si="52"/>
        <v>1267646.1973000001</v>
      </c>
      <c r="N59" s="34">
        <f t="shared" si="52"/>
        <v>126461.82013809524</v>
      </c>
      <c r="O59" s="34">
        <f t="shared" si="52"/>
        <v>251376.60045238212</v>
      </c>
      <c r="P59" s="34">
        <f t="shared" si="52"/>
        <v>379002.80739603273</v>
      </c>
      <c r="Q59" s="68">
        <f t="shared" si="52"/>
        <v>888643.38990396727</v>
      </c>
      <c r="S59" s="67" t="s">
        <v>20</v>
      </c>
      <c r="T59" s="34">
        <f t="shared" ref="T59:Z59" si="53">SUM(T37:T58)</f>
        <v>0</v>
      </c>
      <c r="U59" s="34">
        <f t="shared" si="53"/>
        <v>0</v>
      </c>
      <c r="V59" s="34">
        <f t="shared" si="53"/>
        <v>0</v>
      </c>
      <c r="W59" s="34">
        <f t="shared" si="53"/>
        <v>0</v>
      </c>
      <c r="X59" s="34">
        <f t="shared" si="53"/>
        <v>0</v>
      </c>
      <c r="Y59" s="34">
        <f t="shared" si="53"/>
        <v>0</v>
      </c>
      <c r="Z59" s="68">
        <f t="shared" si="53"/>
        <v>0</v>
      </c>
      <c r="AB59" s="67" t="s">
        <v>20</v>
      </c>
      <c r="AC59" s="34">
        <f t="shared" ref="AC59" si="54">SUM(AC37:AC58)</f>
        <v>4723262.9168726504</v>
      </c>
      <c r="AD59" s="34">
        <f>SUM(AD37:AD58)</f>
        <v>0</v>
      </c>
      <c r="AE59" s="34">
        <f t="shared" ref="AE59:AI59" si="55">SUM(AE37:AE58)</f>
        <v>4723262.9168726504</v>
      </c>
      <c r="AF59" s="34">
        <f t="shared" si="55"/>
        <v>294483.25454285712</v>
      </c>
      <c r="AG59" s="34">
        <f t="shared" si="55"/>
        <v>3094274.707820667</v>
      </c>
      <c r="AH59" s="34">
        <f t="shared" si="55"/>
        <v>3403951.7005738425</v>
      </c>
      <c r="AI59" s="68">
        <f t="shared" si="55"/>
        <v>1319311.2162988074</v>
      </c>
    </row>
    <row r="60" spans="1:35" s="16" customFormat="1">
      <c r="A60" s="62"/>
      <c r="B60" s="37"/>
      <c r="C60" s="37"/>
      <c r="D60" s="37"/>
      <c r="E60" s="37">
        <f>+Depreciation!Q431-'Depr Summary'!E59</f>
        <v>0</v>
      </c>
      <c r="F60" s="37"/>
      <c r="G60" s="37"/>
      <c r="H60" s="73"/>
      <c r="J60" s="62"/>
      <c r="K60" s="37"/>
      <c r="L60" s="37"/>
      <c r="M60" s="37"/>
      <c r="N60" s="37"/>
      <c r="O60" s="37"/>
      <c r="P60" s="37"/>
      <c r="Q60" s="73"/>
      <c r="S60" s="62"/>
      <c r="T60" s="37"/>
      <c r="U60" s="37"/>
      <c r="V60" s="37"/>
      <c r="W60" s="37"/>
      <c r="X60" s="37"/>
      <c r="Y60" s="37"/>
      <c r="Z60" s="73"/>
      <c r="AB60" s="62"/>
      <c r="AC60" s="37"/>
      <c r="AD60" s="37"/>
      <c r="AE60" s="37"/>
      <c r="AF60" s="37"/>
      <c r="AG60" s="37"/>
      <c r="AH60" s="37"/>
      <c r="AI60" s="73"/>
    </row>
    <row r="61" spans="1:35" ht="12.75">
      <c r="A61" s="69" t="s">
        <v>517</v>
      </c>
      <c r="B61" s="35" t="s">
        <v>8</v>
      </c>
      <c r="C61" s="35" t="s">
        <v>9</v>
      </c>
      <c r="D61" s="35" t="s">
        <v>10</v>
      </c>
      <c r="E61" s="35" t="s">
        <v>11</v>
      </c>
      <c r="F61" s="35"/>
      <c r="G61" s="35"/>
      <c r="H61" s="70"/>
      <c r="J61" s="69" t="s">
        <v>517</v>
      </c>
      <c r="K61" s="35" t="s">
        <v>8</v>
      </c>
      <c r="L61" s="35" t="s">
        <v>9</v>
      </c>
      <c r="M61" s="35" t="s">
        <v>10</v>
      </c>
      <c r="N61" s="35" t="s">
        <v>11</v>
      </c>
      <c r="O61" s="35"/>
      <c r="P61" s="35"/>
      <c r="Q61" s="70"/>
      <c r="S61" s="69" t="s">
        <v>517</v>
      </c>
      <c r="T61" s="35" t="s">
        <v>8</v>
      </c>
      <c r="U61" s="35" t="s">
        <v>9</v>
      </c>
      <c r="V61" s="35" t="s">
        <v>10</v>
      </c>
      <c r="W61" s="35" t="s">
        <v>11</v>
      </c>
      <c r="X61" s="35"/>
      <c r="Y61" s="35"/>
      <c r="Z61" s="70"/>
      <c r="AB61" s="69" t="s">
        <v>517</v>
      </c>
      <c r="AC61" s="35" t="s">
        <v>8</v>
      </c>
      <c r="AD61" s="35" t="s">
        <v>9</v>
      </c>
      <c r="AE61" s="35" t="s">
        <v>10</v>
      </c>
      <c r="AF61" s="35" t="s">
        <v>11</v>
      </c>
      <c r="AG61" s="35"/>
      <c r="AH61" s="35"/>
      <c r="AI61" s="70"/>
    </row>
    <row r="62" spans="1:35" ht="12.75">
      <c r="A62" s="71"/>
      <c r="B62" s="36"/>
      <c r="C62" s="36"/>
      <c r="D62" s="36"/>
      <c r="E62" s="36"/>
      <c r="F62" s="36"/>
      <c r="G62" s="36"/>
      <c r="H62" s="72"/>
      <c r="J62" s="71"/>
      <c r="K62" s="36"/>
      <c r="L62" s="36"/>
      <c r="M62" s="36"/>
      <c r="N62" s="36"/>
      <c r="O62" s="36"/>
      <c r="P62" s="36"/>
      <c r="Q62" s="72"/>
      <c r="S62" s="71"/>
      <c r="T62" s="36"/>
      <c r="U62" s="36"/>
      <c r="V62" s="36"/>
      <c r="W62" s="36"/>
      <c r="X62" s="36"/>
      <c r="Y62" s="36"/>
      <c r="Z62" s="72"/>
      <c r="AB62" s="71"/>
      <c r="AC62" s="36"/>
      <c r="AD62" s="36"/>
      <c r="AE62" s="36"/>
      <c r="AF62" s="36"/>
      <c r="AG62" s="36"/>
      <c r="AH62" s="36"/>
      <c r="AI62" s="72"/>
    </row>
    <row r="63" spans="1:35" ht="15">
      <c r="A63" s="64" t="s">
        <v>21</v>
      </c>
      <c r="B63" s="20">
        <f>Depreciation!M437</f>
        <v>31923.599999999999</v>
      </c>
      <c r="C63" s="20">
        <f>B63-D63</f>
        <v>0</v>
      </c>
      <c r="D63" s="20">
        <f>Depreciation!N437</f>
        <v>31923.599999999999</v>
      </c>
      <c r="E63" s="20">
        <f>Depreciation!Q437</f>
        <v>0</v>
      </c>
      <c r="F63" s="20">
        <f>Depreciation!S437</f>
        <v>31923.599999999999</v>
      </c>
      <c r="G63" s="20">
        <f>Depreciation!T437</f>
        <v>31923.599999999999</v>
      </c>
      <c r="H63" s="65">
        <f>Depreciation!U437</f>
        <v>0</v>
      </c>
      <c r="J63" s="64" t="s">
        <v>21</v>
      </c>
      <c r="K63" s="20">
        <f>IFERROR(VLOOKUP(J63,'FAR Dep Summary'!$A$31:$F$48,2,FALSE),0)</f>
        <v>0</v>
      </c>
      <c r="L63" s="20">
        <f>K63-M63</f>
        <v>0</v>
      </c>
      <c r="M63" s="20">
        <f>K63</f>
        <v>0</v>
      </c>
      <c r="N63" s="20">
        <f>IFERROR(VLOOKUP($J63,'FAR Dep Summary'!$A$31:$F$48,3,FALSE),0)</f>
        <v>0</v>
      </c>
      <c r="O63" s="20">
        <f>IFERROR(VLOOKUP($J63,'FAR Dep Summary'!$A$31:$F$48,4,FALSE),0)</f>
        <v>0</v>
      </c>
      <c r="P63" s="20">
        <f>IFERROR(VLOOKUP($J63,'FAR Dep Summary'!$A$31:$F$48,5,FALSE),0)</f>
        <v>0</v>
      </c>
      <c r="Q63" s="65">
        <f>IFERROR(VLOOKUP($J63,'FAR Dep Summary'!$A$31:$F$48,6,FALSE),0)</f>
        <v>0</v>
      </c>
      <c r="S63" s="64" t="s">
        <v>21</v>
      </c>
      <c r="T63" s="20">
        <f>'Additional Depreciation'!D48</f>
        <v>27350</v>
      </c>
      <c r="U63" s="111"/>
      <c r="V63" s="111">
        <f>T63</f>
        <v>27350</v>
      </c>
      <c r="W63" s="20">
        <f>'Additional Depreciation'!F48</f>
        <v>9116.6666666666661</v>
      </c>
      <c r="X63" s="20"/>
      <c r="Y63" s="20">
        <f>'Additional Depreciation'!G48</f>
        <v>9116.6666666666661</v>
      </c>
      <c r="Z63" s="65">
        <f>'Additional Depreciation'!H48</f>
        <v>18233.333333333336</v>
      </c>
      <c r="AB63" s="64" t="s">
        <v>21</v>
      </c>
      <c r="AC63" s="20">
        <f t="shared" ref="AC63:AI63" si="56">B63+K63+T63</f>
        <v>59273.599999999999</v>
      </c>
      <c r="AD63" s="20">
        <f t="shared" si="56"/>
        <v>0</v>
      </c>
      <c r="AE63" s="20">
        <f t="shared" si="56"/>
        <v>59273.599999999999</v>
      </c>
      <c r="AF63" s="20">
        <f t="shared" si="56"/>
        <v>9116.6666666666661</v>
      </c>
      <c r="AG63" s="20">
        <f t="shared" si="56"/>
        <v>31923.599999999999</v>
      </c>
      <c r="AH63" s="20">
        <f t="shared" si="56"/>
        <v>41040.266666666663</v>
      </c>
      <c r="AI63" s="65">
        <f t="shared" si="56"/>
        <v>18233.333333333336</v>
      </c>
    </row>
    <row r="64" spans="1:35">
      <c r="A64" s="64"/>
      <c r="B64" s="20"/>
      <c r="C64" s="20"/>
      <c r="D64" s="20"/>
      <c r="E64" s="20"/>
      <c r="F64" s="20"/>
      <c r="G64" s="20"/>
      <c r="H64" s="65"/>
      <c r="J64" s="64"/>
      <c r="K64" s="20">
        <f>IFERROR(VLOOKUP(J64,'FAR Dep Summary'!$A$31:$F$48,2,FALSE),0)</f>
        <v>0</v>
      </c>
      <c r="L64" s="20"/>
      <c r="M64" s="20"/>
      <c r="N64" s="20"/>
      <c r="O64" s="20"/>
      <c r="P64" s="20"/>
      <c r="Q64" s="65"/>
      <c r="S64" s="64"/>
      <c r="T64" s="20"/>
      <c r="U64" s="20"/>
      <c r="V64" s="20"/>
      <c r="W64" s="20"/>
      <c r="X64" s="20"/>
      <c r="Y64" s="20"/>
      <c r="Z64" s="65"/>
      <c r="AB64" s="64"/>
      <c r="AC64" s="20"/>
      <c r="AD64" s="20"/>
      <c r="AE64" s="20"/>
      <c r="AF64" s="20"/>
      <c r="AG64" s="20"/>
      <c r="AH64" s="20"/>
      <c r="AI64" s="65"/>
    </row>
    <row r="65" spans="1:35">
      <c r="A65" s="64" t="s">
        <v>22</v>
      </c>
      <c r="B65" s="20">
        <f>Depreciation!M479</f>
        <v>326437.18</v>
      </c>
      <c r="C65" s="20">
        <f>B65-D65</f>
        <v>0</v>
      </c>
      <c r="D65" s="20">
        <f>Depreciation!N479</f>
        <v>326437.18</v>
      </c>
      <c r="E65" s="20">
        <f>Depreciation!Q479</f>
        <v>0</v>
      </c>
      <c r="F65" s="20">
        <f>Depreciation!S479</f>
        <v>321407.27999999997</v>
      </c>
      <c r="G65" s="20">
        <f>Depreciation!T479</f>
        <v>326437.18</v>
      </c>
      <c r="H65" s="65">
        <f>Depreciation!U479</f>
        <v>0</v>
      </c>
      <c r="J65" s="64" t="s">
        <v>22</v>
      </c>
      <c r="K65" s="20">
        <f>IFERROR(VLOOKUP(J65,'FAR Dep Summary'!$A$31:$F$48,2,FALSE),0)</f>
        <v>84634.72</v>
      </c>
      <c r="L65" s="20">
        <f>K65-M65</f>
        <v>0</v>
      </c>
      <c r="M65" s="20">
        <f>K65</f>
        <v>84634.72</v>
      </c>
      <c r="N65" s="20">
        <f>IFERROR(VLOOKUP($J65,'FAR Dep Summary'!$A$31:$F$48,3,FALSE),0)</f>
        <v>9600.6530000000002</v>
      </c>
      <c r="O65" s="20">
        <f>IFERROR(VLOOKUP($J65,'FAR Dep Summary'!$A$31:$F$48,4,FALSE),0)</f>
        <v>32629.181250000373</v>
      </c>
      <c r="P65" s="20">
        <f>IFERROR(VLOOKUP($J65,'FAR Dep Summary'!$A$31:$F$48,5,FALSE),0)</f>
        <v>45157.413416666765</v>
      </c>
      <c r="Q65" s="65">
        <f>IFERROR(VLOOKUP($J65,'FAR Dep Summary'!$A$31:$F$48,6,FALSE),0)</f>
        <v>39477.306583333222</v>
      </c>
      <c r="S65" s="64" t="s">
        <v>22</v>
      </c>
      <c r="T65" s="20"/>
      <c r="U65" s="20"/>
      <c r="V65" s="20"/>
      <c r="W65" s="20"/>
      <c r="X65" s="20"/>
      <c r="Y65" s="20"/>
      <c r="Z65" s="65"/>
      <c r="AB65" s="64" t="s">
        <v>22</v>
      </c>
      <c r="AC65" s="20">
        <f t="shared" ref="AC65:AI65" si="57">B65+K65+T65</f>
        <v>411071.9</v>
      </c>
      <c r="AD65" s="20">
        <f t="shared" si="57"/>
        <v>0</v>
      </c>
      <c r="AE65" s="20">
        <f t="shared" si="57"/>
        <v>411071.9</v>
      </c>
      <c r="AF65" s="20">
        <f t="shared" si="57"/>
        <v>9600.6530000000002</v>
      </c>
      <c r="AG65" s="20">
        <f t="shared" si="57"/>
        <v>354036.46125000034</v>
      </c>
      <c r="AH65" s="20">
        <f t="shared" si="57"/>
        <v>371594.59341666673</v>
      </c>
      <c r="AI65" s="65">
        <f t="shared" si="57"/>
        <v>39477.306583333222</v>
      </c>
    </row>
    <row r="66" spans="1:35">
      <c r="A66" s="64"/>
      <c r="B66" s="20"/>
      <c r="C66" s="20"/>
      <c r="D66" s="20"/>
      <c r="E66" s="20"/>
      <c r="F66" s="20"/>
      <c r="G66" s="20"/>
      <c r="H66" s="65"/>
      <c r="J66" s="64"/>
      <c r="K66" s="20"/>
      <c r="L66" s="20"/>
      <c r="M66" s="20"/>
      <c r="N66" s="20"/>
      <c r="O66" s="20"/>
      <c r="P66" s="20"/>
      <c r="Q66" s="65"/>
      <c r="S66" s="64"/>
      <c r="T66" s="20"/>
      <c r="U66" s="20"/>
      <c r="V66" s="20"/>
      <c r="W66" s="20"/>
      <c r="X66" s="20"/>
      <c r="Y66" s="20"/>
      <c r="Z66" s="65"/>
      <c r="AB66" s="64"/>
      <c r="AC66" s="20"/>
      <c r="AD66" s="20"/>
      <c r="AE66" s="20"/>
      <c r="AF66" s="20"/>
      <c r="AG66" s="20"/>
      <c r="AH66" s="20"/>
      <c r="AI66" s="65"/>
    </row>
    <row r="67" spans="1:35">
      <c r="A67" s="64" t="s">
        <v>23</v>
      </c>
      <c r="B67" s="20">
        <f>Depreciation!M492</f>
        <v>8506.67</v>
      </c>
      <c r="C67" s="20">
        <f>B67-D67</f>
        <v>0</v>
      </c>
      <c r="D67" s="20">
        <f>Depreciation!N492</f>
        <v>8506.67</v>
      </c>
      <c r="E67" s="20">
        <f>Depreciation!Q492</f>
        <v>0</v>
      </c>
      <c r="F67" s="20">
        <f>Depreciation!S492</f>
        <v>8506.67</v>
      </c>
      <c r="G67" s="20">
        <f>Depreciation!T492</f>
        <v>8506.67</v>
      </c>
      <c r="H67" s="65">
        <f>Depreciation!U492</f>
        <v>0</v>
      </c>
      <c r="J67" s="64" t="s">
        <v>23</v>
      </c>
      <c r="K67" s="20">
        <f>IFERROR(VLOOKUP(J67,'FAR Dep Summary'!$A$31:$F$48,2,FALSE),0)</f>
        <v>6381.49</v>
      </c>
      <c r="L67" s="20">
        <f>K67-M67</f>
        <v>0</v>
      </c>
      <c r="M67" s="20">
        <f>K67</f>
        <v>6381.49</v>
      </c>
      <c r="N67" s="20">
        <f>IFERROR(VLOOKUP($J67,'FAR Dep Summary'!$A$31:$F$48,3,FALSE),0)</f>
        <v>2127.1633333333334</v>
      </c>
      <c r="O67" s="20">
        <f>IFERROR(VLOOKUP($J67,'FAR Dep Summary'!$A$31:$F$48,4,FALSE),0)</f>
        <v>1172.8900000000892</v>
      </c>
      <c r="P67" s="20">
        <f>IFERROR(VLOOKUP($J67,'FAR Dep Summary'!$A$31:$F$48,5,FALSE),0)</f>
        <v>3300.0533333334224</v>
      </c>
      <c r="Q67" s="65">
        <f>IFERROR(VLOOKUP($J67,'FAR Dep Summary'!$A$31:$F$48,6,FALSE),0)</f>
        <v>3081.4366666665774</v>
      </c>
      <c r="S67" s="64" t="s">
        <v>23</v>
      </c>
      <c r="T67" s="20"/>
      <c r="U67" s="20"/>
      <c r="V67" s="20"/>
      <c r="W67" s="20"/>
      <c r="X67" s="20"/>
      <c r="Y67" s="20"/>
      <c r="Z67" s="65"/>
      <c r="AB67" s="64" t="s">
        <v>23</v>
      </c>
      <c r="AC67" s="20">
        <f t="shared" ref="AC67:AI67" si="58">B67+K67+T67</f>
        <v>14888.16</v>
      </c>
      <c r="AD67" s="20">
        <f t="shared" si="58"/>
        <v>0</v>
      </c>
      <c r="AE67" s="20">
        <f t="shared" si="58"/>
        <v>14888.16</v>
      </c>
      <c r="AF67" s="20">
        <f t="shared" si="58"/>
        <v>2127.1633333333334</v>
      </c>
      <c r="AG67" s="20">
        <f t="shared" si="58"/>
        <v>9679.5600000000886</v>
      </c>
      <c r="AH67" s="20">
        <f t="shared" si="58"/>
        <v>11806.723333333422</v>
      </c>
      <c r="AI67" s="65">
        <f t="shared" si="58"/>
        <v>3081.4366666665774</v>
      </c>
    </row>
    <row r="68" spans="1:35">
      <c r="A68" s="64"/>
      <c r="B68" s="20"/>
      <c r="C68" s="20"/>
      <c r="D68" s="20"/>
      <c r="E68" s="20"/>
      <c r="F68" s="20"/>
      <c r="G68" s="20"/>
      <c r="H68" s="65"/>
      <c r="J68" s="64"/>
      <c r="K68" s="20"/>
      <c r="L68" s="20"/>
      <c r="M68" s="20"/>
      <c r="N68" s="20"/>
      <c r="O68" s="20"/>
      <c r="P68" s="20"/>
      <c r="Q68" s="65"/>
      <c r="S68" s="64"/>
      <c r="T68" s="20"/>
      <c r="U68" s="20"/>
      <c r="V68" s="20"/>
      <c r="W68" s="20"/>
      <c r="X68" s="20"/>
      <c r="Y68" s="20"/>
      <c r="Z68" s="65"/>
      <c r="AB68" s="64"/>
      <c r="AC68" s="20"/>
      <c r="AD68" s="20"/>
      <c r="AE68" s="20"/>
      <c r="AF68" s="20"/>
      <c r="AG68" s="20"/>
      <c r="AH68" s="20"/>
      <c r="AI68" s="65"/>
    </row>
    <row r="69" spans="1:35" ht="15">
      <c r="A69" s="64" t="s">
        <v>24</v>
      </c>
      <c r="B69" s="20">
        <f>Depreciation!M518</f>
        <v>631741.70000000007</v>
      </c>
      <c r="C69" s="20"/>
      <c r="D69" s="20">
        <f>Depreciation!N518</f>
        <v>631741.70000000007</v>
      </c>
      <c r="E69" s="20">
        <f>Depreciation!Q518</f>
        <v>37495.289833333336</v>
      </c>
      <c r="F69" s="20">
        <f>Depreciation!S518</f>
        <v>375040.45380555687</v>
      </c>
      <c r="G69" s="20">
        <f>Depreciation!T518</f>
        <v>412535.74363889027</v>
      </c>
      <c r="H69" s="65">
        <f>Depreciation!U518</f>
        <v>219205.95636110974</v>
      </c>
      <c r="J69" s="64" t="s">
        <v>24</v>
      </c>
      <c r="K69" s="20">
        <f>IFERROR(VLOOKUP(J69,'FAR Dep Summary'!$A$31:$F$48,2,FALSE),0)</f>
        <v>0</v>
      </c>
      <c r="L69" s="20">
        <f>K69-M69</f>
        <v>0</v>
      </c>
      <c r="M69" s="20">
        <f>K69</f>
        <v>0</v>
      </c>
      <c r="N69" s="20">
        <f>IFERROR(VLOOKUP($J69,'FAR Dep Summary'!$A$31:$F$48,3,FALSE),0)</f>
        <v>0</v>
      </c>
      <c r="O69" s="20">
        <f>IFERROR(VLOOKUP($J69,'FAR Dep Summary'!$A$31:$F$48,4,FALSE),0)</f>
        <v>0</v>
      </c>
      <c r="P69" s="20">
        <f>IFERROR(VLOOKUP($J69,'FAR Dep Summary'!$A$31:$F$48,5,FALSE),0)</f>
        <v>0</v>
      </c>
      <c r="Q69" s="65">
        <f>IFERROR(VLOOKUP($J69,'FAR Dep Summary'!$A$31:$F$48,6,FALSE),0)</f>
        <v>0</v>
      </c>
      <c r="S69" s="64" t="s">
        <v>24</v>
      </c>
      <c r="T69" s="20">
        <f>'Additional Depreciation'!D46</f>
        <v>85294.17</v>
      </c>
      <c r="U69" s="20"/>
      <c r="V69" s="111">
        <f>T69</f>
        <v>85294.17</v>
      </c>
      <c r="W69" s="20">
        <f>'Additional Depreciation'!F46</f>
        <v>17058.833999999999</v>
      </c>
      <c r="X69" s="20"/>
      <c r="Y69" s="20">
        <f>'Additional Depreciation'!G46</f>
        <v>17058.833999999999</v>
      </c>
      <c r="Z69" s="65">
        <f>'Additional Depreciation'!H46</f>
        <v>68235.335999999996</v>
      </c>
      <c r="AB69" s="64" t="s">
        <v>24</v>
      </c>
      <c r="AC69" s="20">
        <f t="shared" ref="AC69:AI69" si="59">B69+K69+T69</f>
        <v>717035.87000000011</v>
      </c>
      <c r="AD69" s="20">
        <f t="shared" si="59"/>
        <v>0</v>
      </c>
      <c r="AE69" s="20">
        <f t="shared" si="59"/>
        <v>717035.87000000011</v>
      </c>
      <c r="AF69" s="20">
        <f t="shared" si="59"/>
        <v>54554.123833333331</v>
      </c>
      <c r="AG69" s="20">
        <f t="shared" si="59"/>
        <v>375040.45380555687</v>
      </c>
      <c r="AH69" s="20">
        <f t="shared" si="59"/>
        <v>429594.57763889024</v>
      </c>
      <c r="AI69" s="65">
        <f t="shared" si="59"/>
        <v>287441.29236110975</v>
      </c>
    </row>
    <row r="70" spans="1:35">
      <c r="A70" s="64"/>
      <c r="B70" s="33"/>
      <c r="C70" s="33"/>
      <c r="D70" s="33"/>
      <c r="E70" s="33"/>
      <c r="F70" s="33"/>
      <c r="G70" s="33"/>
      <c r="H70" s="66"/>
      <c r="J70" s="64"/>
      <c r="K70" s="33"/>
      <c r="L70" s="33"/>
      <c r="M70" s="33"/>
      <c r="N70" s="33"/>
      <c r="O70" s="33"/>
      <c r="P70" s="33"/>
      <c r="Q70" s="66"/>
      <c r="S70" s="64"/>
      <c r="T70" s="33"/>
      <c r="U70" s="33"/>
      <c r="V70" s="33"/>
      <c r="W70" s="33"/>
      <c r="X70" s="33"/>
      <c r="Y70" s="33"/>
      <c r="Z70" s="66"/>
      <c r="AB70" s="64"/>
      <c r="AC70" s="33"/>
      <c r="AD70" s="33"/>
      <c r="AE70" s="33"/>
      <c r="AF70" s="33"/>
      <c r="AG70" s="33"/>
      <c r="AH70" s="33"/>
      <c r="AI70" s="66"/>
    </row>
    <row r="71" spans="1:35" s="16" customFormat="1">
      <c r="A71" s="67" t="s">
        <v>519</v>
      </c>
      <c r="B71" s="34">
        <f>SUM(B63:B70)</f>
        <v>998609.15</v>
      </c>
      <c r="C71" s="34">
        <f t="shared" ref="C71:H71" si="60">SUM(C63:C70)</f>
        <v>0</v>
      </c>
      <c r="D71" s="34">
        <f t="shared" si="60"/>
        <v>998609.15</v>
      </c>
      <c r="E71" s="34">
        <f t="shared" si="60"/>
        <v>37495.289833333336</v>
      </c>
      <c r="F71" s="34">
        <f t="shared" si="60"/>
        <v>736878.0038055568</v>
      </c>
      <c r="G71" s="34">
        <f t="shared" si="60"/>
        <v>779403.19363889028</v>
      </c>
      <c r="H71" s="68">
        <f t="shared" si="60"/>
        <v>219205.95636110974</v>
      </c>
      <c r="J71" s="67" t="s">
        <v>519</v>
      </c>
      <c r="K71" s="34">
        <f>SUM(K63:K70)</f>
        <v>91016.21</v>
      </c>
      <c r="L71" s="34">
        <f t="shared" ref="L71" si="61">SUM(L63:L70)</f>
        <v>0</v>
      </c>
      <c r="M71" s="34">
        <f t="shared" ref="M71" si="62">SUM(M63:M70)</f>
        <v>91016.21</v>
      </c>
      <c r="N71" s="34">
        <f t="shared" ref="N71" si="63">SUM(N63:N70)</f>
        <v>11727.816333333334</v>
      </c>
      <c r="O71" s="34">
        <f t="shared" ref="O71" si="64">SUM(O63:O70)</f>
        <v>33802.071250000459</v>
      </c>
      <c r="P71" s="34">
        <f t="shared" ref="P71" si="65">SUM(P63:P70)</f>
        <v>48457.466750000189</v>
      </c>
      <c r="Q71" s="68">
        <f t="shared" ref="Q71" si="66">SUM(Q63:Q70)</f>
        <v>42558.743249999796</v>
      </c>
      <c r="S71" s="67" t="s">
        <v>519</v>
      </c>
      <c r="T71" s="34">
        <f>SUM(T63:T70)</f>
        <v>112644.17</v>
      </c>
      <c r="U71" s="34">
        <f t="shared" ref="U71" si="67">SUM(U63:U70)</f>
        <v>0</v>
      </c>
      <c r="V71" s="34">
        <f t="shared" ref="V71" si="68">SUM(V63:V70)</f>
        <v>112644.17</v>
      </c>
      <c r="W71" s="34">
        <f t="shared" ref="W71" si="69">SUM(W63:W70)</f>
        <v>26175.500666666667</v>
      </c>
      <c r="X71" s="34">
        <f t="shared" ref="X71" si="70">SUM(X63:X70)</f>
        <v>0</v>
      </c>
      <c r="Y71" s="34">
        <f t="shared" ref="Y71" si="71">SUM(Y63:Y70)</f>
        <v>26175.500666666667</v>
      </c>
      <c r="Z71" s="68">
        <f t="shared" ref="Z71" si="72">SUM(Z63:Z70)</f>
        <v>86468.669333333324</v>
      </c>
      <c r="AB71" s="67" t="s">
        <v>519</v>
      </c>
      <c r="AC71" s="34">
        <f>SUM(AC63:AC69)</f>
        <v>1202269.53</v>
      </c>
      <c r="AD71" s="34">
        <f t="shared" ref="AD71" si="73">SUM(AD63:AD69)</f>
        <v>0</v>
      </c>
      <c r="AE71" s="34">
        <f>SUM(AE63:AE69)</f>
        <v>1202269.53</v>
      </c>
      <c r="AF71" s="34">
        <f>SUM(AF63:AF69)</f>
        <v>75398.606833333324</v>
      </c>
      <c r="AG71" s="34">
        <f t="shared" ref="AG71:AI71" si="74">SUM(AG63:AG69)</f>
        <v>770680.0750555573</v>
      </c>
      <c r="AH71" s="34">
        <f t="shared" si="74"/>
        <v>854036.16105555708</v>
      </c>
      <c r="AI71" s="68">
        <f t="shared" si="74"/>
        <v>348233.36894444289</v>
      </c>
    </row>
    <row r="72" spans="1:35">
      <c r="A72" s="64"/>
      <c r="B72" s="33"/>
      <c r="C72" s="33"/>
      <c r="D72" s="33"/>
      <c r="E72" s="33"/>
      <c r="F72" s="33"/>
      <c r="G72" s="33"/>
      <c r="H72" s="66"/>
      <c r="J72" s="64"/>
      <c r="K72" s="33"/>
      <c r="L72" s="33"/>
      <c r="M72" s="33"/>
      <c r="N72" s="33"/>
      <c r="O72" s="33"/>
      <c r="P72" s="33"/>
      <c r="Q72" s="66"/>
      <c r="S72" s="64"/>
      <c r="T72" s="33"/>
      <c r="U72" s="33"/>
      <c r="V72" s="33"/>
      <c r="W72" s="33"/>
      <c r="X72" s="33"/>
      <c r="Y72" s="33"/>
      <c r="Z72" s="66"/>
      <c r="AB72" s="64"/>
      <c r="AC72" s="33"/>
      <c r="AD72" s="33"/>
      <c r="AE72" s="33"/>
      <c r="AF72" s="33"/>
      <c r="AG72" s="33"/>
      <c r="AH72" s="33"/>
      <c r="AI72" s="66"/>
    </row>
    <row r="73" spans="1:35" ht="12.75" thickBot="1">
      <c r="A73" s="74" t="s">
        <v>26</v>
      </c>
      <c r="B73" s="38">
        <f t="shared" ref="B73:H73" si="75">B33+B59+B71</f>
        <v>11086867.289572647</v>
      </c>
      <c r="C73" s="38">
        <f t="shared" si="75"/>
        <v>0</v>
      </c>
      <c r="D73" s="38">
        <f t="shared" si="75"/>
        <v>11086867.289572647</v>
      </c>
      <c r="E73" s="38">
        <f t="shared" si="75"/>
        <v>548950.3721328734</v>
      </c>
      <c r="F73" s="38">
        <f t="shared" si="75"/>
        <v>8164546.014798779</v>
      </c>
      <c r="G73" s="38">
        <f t="shared" si="75"/>
        <v>8863227.3193364143</v>
      </c>
      <c r="H73" s="75">
        <f t="shared" si="75"/>
        <v>2223639.9702362344</v>
      </c>
      <c r="J73" s="74" t="s">
        <v>26</v>
      </c>
      <c r="K73" s="38">
        <f t="shared" ref="K73:Q73" si="76">K33+K59+K71</f>
        <v>5781066.1073000003</v>
      </c>
      <c r="L73" s="38">
        <f t="shared" si="76"/>
        <v>0</v>
      </c>
      <c r="M73" s="38">
        <f t="shared" si="76"/>
        <v>5781066.1073000003</v>
      </c>
      <c r="N73" s="38">
        <f t="shared" si="76"/>
        <v>560185.21447142866</v>
      </c>
      <c r="O73" s="38">
        <f t="shared" si="76"/>
        <v>1004934.8496468217</v>
      </c>
      <c r="P73" s="38">
        <f>P33+P59+P71</f>
        <v>1569212.0300904722</v>
      </c>
      <c r="Q73" s="75">
        <f t="shared" si="76"/>
        <v>4211854.0772095276</v>
      </c>
      <c r="S73" s="74" t="s">
        <v>26</v>
      </c>
      <c r="T73" s="38">
        <f t="shared" ref="T73:Z73" si="77">T33+T59+T71</f>
        <v>437434.17</v>
      </c>
      <c r="U73" s="38">
        <f t="shared" si="77"/>
        <v>0</v>
      </c>
      <c r="V73" s="38">
        <f t="shared" si="77"/>
        <v>437434.17</v>
      </c>
      <c r="W73" s="38">
        <f t="shared" si="77"/>
        <v>56487.834000000003</v>
      </c>
      <c r="X73" s="38">
        <f t="shared" si="77"/>
        <v>0</v>
      </c>
      <c r="Y73" s="38">
        <f t="shared" si="77"/>
        <v>56487.834000000003</v>
      </c>
      <c r="Z73" s="75">
        <f t="shared" si="77"/>
        <v>380946.33600000001</v>
      </c>
      <c r="AB73" s="74" t="s">
        <v>26</v>
      </c>
      <c r="AC73" s="38">
        <f t="shared" ref="AC73:AI73" si="78">AC33+AC59+AC71</f>
        <v>17305367.566872649</v>
      </c>
      <c r="AD73" s="38">
        <f t="shared" si="78"/>
        <v>0</v>
      </c>
      <c r="AE73" s="38">
        <f t="shared" si="78"/>
        <v>17305367.566872649</v>
      </c>
      <c r="AF73" s="38">
        <f t="shared" si="78"/>
        <v>1165623.4206043018</v>
      </c>
      <c r="AG73" s="38">
        <f t="shared" si="78"/>
        <v>9169480.8644456007</v>
      </c>
      <c r="AH73" s="38">
        <f t="shared" si="78"/>
        <v>10488927.183426887</v>
      </c>
      <c r="AI73" s="75">
        <f t="shared" si="78"/>
        <v>6816440.383445763</v>
      </c>
    </row>
    <row r="74" spans="1:35" ht="13.5" thickTop="1" thickBot="1">
      <c r="A74" s="94" t="s">
        <v>1474</v>
      </c>
      <c r="B74" s="77">
        <f>+B73-Depreciation!M520</f>
        <v>0</v>
      </c>
      <c r="C74" s="78"/>
      <c r="D74" s="77"/>
      <c r="E74" s="77">
        <f>+Depreciation!Q520-'Depr Summary'!E73</f>
        <v>0</v>
      </c>
      <c r="F74" s="77"/>
      <c r="G74" s="78"/>
      <c r="H74" s="126">
        <f>+Depreciation!U520-'Depr Summary'!H73</f>
        <v>0</v>
      </c>
      <c r="J74" s="94" t="s">
        <v>1474</v>
      </c>
      <c r="K74" s="77"/>
      <c r="L74" s="78"/>
      <c r="M74" s="77"/>
      <c r="N74" s="97">
        <f>+'FAR Dep Summary'!C51-'Depr Summary'!N73</f>
        <v>3.8571422919631004E-4</v>
      </c>
      <c r="O74" s="97">
        <f>+'FAR Dep Summary'!D51-'Depr Summary'!O73-'FAR Dep Summary'!D44</f>
        <v>-1.1641532182693481E-10</v>
      </c>
      <c r="P74" s="97">
        <f>+'FAR Dep Summary'!E51-'Depr Summary'!P73-'FAR Dep Summary'!D44</f>
        <v>3.8571422919631004E-4</v>
      </c>
      <c r="Q74" s="97">
        <f>+'FAR Dep Summary'!F51-'Depr Summary'!Q73</f>
        <v>2.3142863065004349E-3</v>
      </c>
      <c r="S74" s="76"/>
      <c r="T74" s="77">
        <f>+'Additional Depreciation'!D53-'Depr Summary'!T73+'24_BudgetedCapital'!S67</f>
        <v>0</v>
      </c>
      <c r="U74" s="78"/>
      <c r="V74" s="77"/>
      <c r="W74" s="77">
        <f>'Additional Depreciation'!F53-'Depr Summary'!W73+'24_BudgetedCapital'!U67</f>
        <v>0</v>
      </c>
      <c r="X74" s="77"/>
      <c r="Y74" s="77">
        <f>'24_BudgetedCapital'!W67+'Additional Depreciation'!G53-'Depr Summary'!Y73</f>
        <v>0</v>
      </c>
      <c r="Z74" s="77">
        <f>'24_BudgetedCapital'!X67+'Additional Depreciation'!H53-'Depr Summary'!Z73</f>
        <v>0</v>
      </c>
      <c r="AB74" s="94" t="s">
        <v>1474</v>
      </c>
      <c r="AC74" s="95">
        <f t="shared" ref="AC74:AI74" si="79">AC73-B73-K73-T73</f>
        <v>1.8044374883174896E-9</v>
      </c>
      <c r="AD74" s="95">
        <f t="shared" si="79"/>
        <v>0</v>
      </c>
      <c r="AE74" s="95">
        <f t="shared" si="79"/>
        <v>1.8044374883174896E-9</v>
      </c>
      <c r="AF74" s="95">
        <f t="shared" si="79"/>
        <v>-2.0372681319713593E-10</v>
      </c>
      <c r="AG74" s="95">
        <f t="shared" si="79"/>
        <v>-1.1641532182693481E-10</v>
      </c>
      <c r="AH74" s="95">
        <f t="shared" si="79"/>
        <v>2.6193447411060333E-10</v>
      </c>
      <c r="AI74" s="96">
        <f t="shared" si="79"/>
        <v>1.0477378964424133E-9</v>
      </c>
    </row>
    <row r="75" spans="1:35">
      <c r="B75" s="39"/>
      <c r="C75" s="39"/>
      <c r="D75" s="39"/>
      <c r="E75" s="39"/>
      <c r="F75" s="39"/>
      <c r="G75" s="39"/>
      <c r="H75" s="39"/>
      <c r="K75" s="13"/>
    </row>
    <row r="76" spans="1:35" s="40" customFormat="1">
      <c r="L76" s="15"/>
      <c r="M76" s="15"/>
    </row>
    <row r="77" spans="1:35" s="41" customFormat="1">
      <c r="B77" s="42"/>
      <c r="C77" s="42"/>
      <c r="D77" s="42"/>
      <c r="E77" s="42"/>
      <c r="F77" s="42"/>
      <c r="G77" s="42"/>
      <c r="H77" s="42"/>
      <c r="K77" s="15"/>
      <c r="L77" s="15"/>
      <c r="M77" s="15"/>
    </row>
    <row r="80" spans="1:35">
      <c r="C80" s="13"/>
    </row>
  </sheetData>
  <pageMargins left="0.75" right="0.75" top="1" bottom="1" header="0.5" footer="0.5"/>
  <pageSetup scale="83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37FA-3765-4878-AFA6-806BFCC5D1DB}">
  <sheetPr>
    <tabColor theme="7" tint="0.79998168889431442"/>
  </sheetPr>
  <dimension ref="A1:N66"/>
  <sheetViews>
    <sheetView zoomScale="85" zoomScaleNormal="85" workbookViewId="0">
      <selection activeCell="B66" sqref="B66"/>
    </sheetView>
  </sheetViews>
  <sheetFormatPr defaultRowHeight="15"/>
  <cols>
    <col min="1" max="1" width="29.140625" bestFit="1" customWidth="1"/>
    <col min="2" max="2" width="16.5703125" bestFit="1" customWidth="1"/>
    <col min="3" max="3" width="19.7109375" bestFit="1" customWidth="1"/>
    <col min="4" max="4" width="17.42578125" bestFit="1" customWidth="1"/>
    <col min="5" max="5" width="17.28515625" bestFit="1" customWidth="1"/>
    <col min="6" max="6" width="29.28515625" bestFit="1" customWidth="1"/>
    <col min="8" max="8" width="14.28515625" customWidth="1"/>
    <col min="9" max="9" width="29.140625" bestFit="1" customWidth="1"/>
    <col min="10" max="10" width="16.5703125" bestFit="1" customWidth="1"/>
    <col min="11" max="11" width="19.7109375" bestFit="1" customWidth="1"/>
    <col min="12" max="12" width="17.42578125" bestFit="1" customWidth="1"/>
    <col min="13" max="13" width="17.28515625" bestFit="1" customWidth="1"/>
    <col min="14" max="14" width="29.28515625" bestFit="1" customWidth="1"/>
    <col min="15" max="15" width="15.7109375" customWidth="1"/>
  </cols>
  <sheetData>
    <row r="1" spans="1:6">
      <c r="A1" s="453" t="s">
        <v>1849</v>
      </c>
      <c r="B1" s="453"/>
      <c r="C1" s="453"/>
      <c r="D1" s="453"/>
      <c r="E1" s="453"/>
      <c r="F1" s="453"/>
    </row>
    <row r="2" spans="1:6">
      <c r="A2" s="91" t="s">
        <v>1485</v>
      </c>
      <c r="B2" t="s">
        <v>77</v>
      </c>
    </row>
    <row r="4" spans="1:6">
      <c r="A4" s="91" t="s">
        <v>1487</v>
      </c>
      <c r="B4" t="s">
        <v>1781</v>
      </c>
      <c r="C4" t="s">
        <v>1489</v>
      </c>
      <c r="D4" t="s">
        <v>1490</v>
      </c>
      <c r="E4" t="s">
        <v>1491</v>
      </c>
      <c r="F4" t="s">
        <v>1492</v>
      </c>
    </row>
    <row r="5" spans="1:6">
      <c r="A5" s="92" t="s">
        <v>18</v>
      </c>
      <c r="B5" s="93">
        <v>66733.929999999993</v>
      </c>
      <c r="C5" s="93">
        <v>9533.4185714285722</v>
      </c>
      <c r="D5" s="93">
        <v>16002.641547618834</v>
      </c>
      <c r="E5" s="93">
        <v>25536.060119047404</v>
      </c>
      <c r="F5" s="93">
        <v>41197.869880952596</v>
      </c>
    </row>
    <row r="6" spans="1:6">
      <c r="A6" s="92" t="s">
        <v>16</v>
      </c>
      <c r="B6" s="93">
        <v>203040.20999999996</v>
      </c>
      <c r="C6" s="93">
        <v>12885.81</v>
      </c>
      <c r="D6" s="93">
        <v>59614.372638889603</v>
      </c>
      <c r="E6" s="93">
        <v>73664.569444445006</v>
      </c>
      <c r="F6" s="93">
        <v>129375.640555555</v>
      </c>
    </row>
    <row r="7" spans="1:6">
      <c r="A7" s="92" t="s">
        <v>17</v>
      </c>
      <c r="B7" s="93">
        <v>218512.79</v>
      </c>
      <c r="C7" s="93">
        <v>9640.4166666666679</v>
      </c>
      <c r="D7" s="93">
        <v>106034.00444444452</v>
      </c>
      <c r="E7" s="93">
        <v>115674.42111111118</v>
      </c>
      <c r="F7" s="93">
        <v>102838.36888888883</v>
      </c>
    </row>
    <row r="8" spans="1:6">
      <c r="A8" s="92" t="s">
        <v>573</v>
      </c>
      <c r="B8" s="93">
        <v>198844.86000000004</v>
      </c>
      <c r="C8" s="93">
        <v>28406.408571428568</v>
      </c>
      <c r="D8" s="93">
        <v>28679.014047619377</v>
      </c>
      <c r="E8" s="93">
        <v>57085.42261904796</v>
      </c>
      <c r="F8" s="93">
        <v>141759.43738095203</v>
      </c>
    </row>
    <row r="9" spans="1:6">
      <c r="A9" s="92" t="s">
        <v>22</v>
      </c>
      <c r="B9" s="93">
        <v>84634.72</v>
      </c>
      <c r="C9" s="93">
        <v>9600.6530000000002</v>
      </c>
      <c r="D9" s="93">
        <v>32629.181250000373</v>
      </c>
      <c r="E9" s="93">
        <v>45157.413416666765</v>
      </c>
      <c r="F9" s="93">
        <v>39477.306583333222</v>
      </c>
    </row>
    <row r="10" spans="1:6">
      <c r="A10" s="92" t="s">
        <v>450</v>
      </c>
      <c r="B10" s="93">
        <v>394578.57999999996</v>
      </c>
      <c r="C10" s="93">
        <v>39457.858</v>
      </c>
      <c r="D10" s="93">
        <v>62420.841083330306</v>
      </c>
      <c r="E10" s="93">
        <v>101878.69908333031</v>
      </c>
      <c r="F10" s="93">
        <v>292699.88091666967</v>
      </c>
    </row>
    <row r="11" spans="1:6">
      <c r="A11" s="92" t="s">
        <v>372</v>
      </c>
      <c r="B11" s="93">
        <v>9873.5</v>
      </c>
      <c r="C11" s="93">
        <v>1410.5</v>
      </c>
      <c r="D11" s="93">
        <v>2468.375</v>
      </c>
      <c r="E11" s="93">
        <v>3878.875</v>
      </c>
      <c r="F11" s="93">
        <v>5994.625</v>
      </c>
    </row>
    <row r="12" spans="1:6">
      <c r="A12" s="92" t="s">
        <v>1565</v>
      </c>
      <c r="B12" s="93">
        <v>12541.84</v>
      </c>
      <c r="C12" s="93">
        <v>4180.6133333333337</v>
      </c>
      <c r="D12" s="93">
        <v>993.28305555560428</v>
      </c>
      <c r="E12" s="93">
        <v>5173.8963888889375</v>
      </c>
      <c r="F12" s="93">
        <v>7367.9436111110626</v>
      </c>
    </row>
    <row r="13" spans="1:6">
      <c r="A13" s="92" t="s">
        <v>364</v>
      </c>
      <c r="B13" s="93">
        <v>416595.11</v>
      </c>
      <c r="C13" s="93">
        <v>42578.723857142853</v>
      </c>
      <c r="D13" s="93">
        <v>32032.182773809771</v>
      </c>
      <c r="E13" s="93">
        <v>74610.906630952624</v>
      </c>
      <c r="F13" s="93">
        <v>341984.20336904738</v>
      </c>
    </row>
    <row r="14" spans="1:6">
      <c r="A14" s="92" t="s">
        <v>583</v>
      </c>
      <c r="B14" s="93">
        <v>97493.51</v>
      </c>
      <c r="C14" s="93">
        <v>10085.57</v>
      </c>
      <c r="D14" s="93">
        <v>69352.714444443962</v>
      </c>
      <c r="E14" s="93">
        <v>79438.284444443969</v>
      </c>
      <c r="F14" s="93">
        <v>18055.225555556033</v>
      </c>
    </row>
    <row r="15" spans="1:6">
      <c r="A15" s="92" t="s">
        <v>1566</v>
      </c>
      <c r="B15" s="93">
        <v>832072.41999999993</v>
      </c>
      <c r="C15" s="93">
        <v>83207.241999999998</v>
      </c>
      <c r="D15" s="93">
        <v>22959.390249997017</v>
      </c>
      <c r="E15" s="93">
        <v>106166.63224999703</v>
      </c>
      <c r="F15" s="93">
        <v>725905.78775000293</v>
      </c>
    </row>
    <row r="16" spans="1:6">
      <c r="A16" s="92" t="s">
        <v>1567</v>
      </c>
      <c r="B16" s="93">
        <v>973823.98</v>
      </c>
      <c r="C16" s="93">
        <v>112205.13133333335</v>
      </c>
      <c r="D16" s="93">
        <v>68940.79800000212</v>
      </c>
      <c r="E16" s="93">
        <v>181145.92933333546</v>
      </c>
      <c r="F16" s="93">
        <v>792678.05066666461</v>
      </c>
    </row>
    <row r="17" spans="1:8">
      <c r="A17" s="92" t="s">
        <v>23</v>
      </c>
      <c r="B17" s="93">
        <v>6381.49</v>
      </c>
      <c r="C17" s="93">
        <v>2127.1633333333334</v>
      </c>
      <c r="D17" s="93">
        <v>1172.8900000000892</v>
      </c>
      <c r="E17" s="93">
        <v>3300.0533333334224</v>
      </c>
      <c r="F17" s="93">
        <v>3081.4366666665774</v>
      </c>
    </row>
    <row r="18" spans="1:8">
      <c r="A18" s="92" t="s">
        <v>1568</v>
      </c>
      <c r="B18" s="93">
        <v>113080</v>
      </c>
      <c r="C18" s="93">
        <v>0</v>
      </c>
      <c r="D18" s="93">
        <v>113080</v>
      </c>
      <c r="E18" s="93">
        <v>113080</v>
      </c>
      <c r="F18" s="93">
        <v>0</v>
      </c>
    </row>
    <row r="19" spans="1:8">
      <c r="A19" s="92" t="s">
        <v>574</v>
      </c>
      <c r="B19" s="93">
        <v>45822.07</v>
      </c>
      <c r="C19" s="93">
        <v>6546.01</v>
      </c>
      <c r="D19" s="93">
        <v>6546.0099999999948</v>
      </c>
      <c r="E19" s="93">
        <v>13092.019999999995</v>
      </c>
      <c r="F19" s="93">
        <v>32730.050000000003</v>
      </c>
    </row>
    <row r="20" spans="1:8">
      <c r="A20" s="92" t="s">
        <v>1569</v>
      </c>
      <c r="B20" s="93">
        <v>477701.69999999995</v>
      </c>
      <c r="C20" s="93">
        <v>57010.396333333338</v>
      </c>
      <c r="D20" s="93">
        <v>17600.431111110109</v>
      </c>
      <c r="E20" s="93">
        <v>74610.82744444345</v>
      </c>
      <c r="F20" s="93">
        <v>403090.87255555659</v>
      </c>
    </row>
    <row r="21" spans="1:8">
      <c r="A21" s="92" t="s">
        <v>1782</v>
      </c>
      <c r="B21" s="93">
        <v>377934.97</v>
      </c>
      <c r="C21" s="93">
        <v>0</v>
      </c>
      <c r="D21" s="93">
        <v>377934.97</v>
      </c>
      <c r="E21" s="93">
        <v>377934.97</v>
      </c>
      <c r="F21" s="93">
        <v>0</v>
      </c>
      <c r="G21" s="4"/>
    </row>
    <row r="22" spans="1:8">
      <c r="A22" s="92" t="s">
        <v>13</v>
      </c>
      <c r="B22" s="93">
        <v>568520.83000000007</v>
      </c>
      <c r="C22" s="93">
        <v>47075.18</v>
      </c>
      <c r="D22" s="93">
        <v>99553.75</v>
      </c>
      <c r="E22" s="93">
        <v>146628.93</v>
      </c>
      <c r="F22" s="93">
        <v>421891.89999999997</v>
      </c>
    </row>
    <row r="23" spans="1:8">
      <c r="A23" s="92" t="s">
        <v>1983</v>
      </c>
      <c r="B23" s="93">
        <v>687735.87</v>
      </c>
      <c r="C23" s="93">
        <v>68773.587</v>
      </c>
      <c r="D23" s="93">
        <v>0</v>
      </c>
      <c r="E23" s="93">
        <v>68773.587</v>
      </c>
      <c r="F23" s="93">
        <v>618962.28300000005</v>
      </c>
    </row>
    <row r="24" spans="1:8">
      <c r="A24" s="92" t="s">
        <v>1603</v>
      </c>
      <c r="B24" s="93">
        <v>108223.73</v>
      </c>
      <c r="C24" s="93">
        <v>15460.532857142854</v>
      </c>
      <c r="D24" s="93">
        <v>0</v>
      </c>
      <c r="E24" s="93">
        <v>15460.532857142854</v>
      </c>
      <c r="F24" s="93">
        <v>92763.197142857156</v>
      </c>
    </row>
    <row r="25" spans="1:8">
      <c r="A25" s="92" t="s">
        <v>286</v>
      </c>
      <c r="B25" s="93">
        <v>5894146.1100000003</v>
      </c>
      <c r="C25" s="93">
        <v>560185.21485714288</v>
      </c>
      <c r="D25" s="93">
        <v>1118014.8496468216</v>
      </c>
      <c r="E25" s="93">
        <v>1682292.0304761864</v>
      </c>
      <c r="F25" s="93">
        <v>4211854.0795238139</v>
      </c>
    </row>
    <row r="30" spans="1:8">
      <c r="A30" s="102" t="s">
        <v>1487</v>
      </c>
      <c r="B30" s="102" t="s">
        <v>1781</v>
      </c>
      <c r="C30" s="102" t="s">
        <v>1489</v>
      </c>
      <c r="D30" s="102" t="s">
        <v>1490</v>
      </c>
      <c r="E30" s="102" t="s">
        <v>1491</v>
      </c>
      <c r="F30" s="102" t="s">
        <v>1492</v>
      </c>
    </row>
    <row r="31" spans="1:8">
      <c r="A31" s="92" t="s">
        <v>18</v>
      </c>
      <c r="B31" s="93">
        <v>66733.929999999993</v>
      </c>
      <c r="C31" s="93">
        <v>9533.4185714285722</v>
      </c>
      <c r="D31" s="93">
        <v>16002.641547618834</v>
      </c>
      <c r="E31" s="93">
        <v>25536.060119047404</v>
      </c>
      <c r="F31" s="93">
        <v>41197.869880952596</v>
      </c>
      <c r="H31" s="93"/>
    </row>
    <row r="32" spans="1:8">
      <c r="A32" s="92" t="s">
        <v>16</v>
      </c>
      <c r="B32" s="93">
        <v>203040.20999999996</v>
      </c>
      <c r="C32" s="93">
        <v>12885.81</v>
      </c>
      <c r="D32" s="93">
        <v>59614.372638889603</v>
      </c>
      <c r="E32" s="93">
        <v>73664.569444445006</v>
      </c>
      <c r="F32" s="93">
        <v>129375.640555555</v>
      </c>
      <c r="H32" s="93"/>
    </row>
    <row r="33" spans="1:8">
      <c r="A33" s="92" t="s">
        <v>17</v>
      </c>
      <c r="B33" s="93">
        <v>218512.79</v>
      </c>
      <c r="C33" s="93">
        <v>9640.4166666666679</v>
      </c>
      <c r="D33" s="93">
        <v>106034.00444444452</v>
      </c>
      <c r="E33" s="93">
        <v>115674.42111111118</v>
      </c>
      <c r="F33" s="93">
        <v>102838.36888888883</v>
      </c>
      <c r="H33" s="93"/>
    </row>
    <row r="34" spans="1:8">
      <c r="A34" s="92" t="s">
        <v>573</v>
      </c>
      <c r="B34" s="93">
        <v>198844.86000000004</v>
      </c>
      <c r="C34" s="93">
        <v>28406.408571428568</v>
      </c>
      <c r="D34" s="93">
        <v>28679.014047619377</v>
      </c>
      <c r="E34" s="93">
        <v>57085.42261904796</v>
      </c>
      <c r="F34" s="93">
        <v>141759.43738095203</v>
      </c>
      <c r="H34" s="93"/>
    </row>
    <row r="35" spans="1:8">
      <c r="A35" s="92" t="s">
        <v>22</v>
      </c>
      <c r="B35" s="93">
        <v>84634.72</v>
      </c>
      <c r="C35" s="93">
        <v>9600.6530000000002</v>
      </c>
      <c r="D35" s="93">
        <v>32629.181250000373</v>
      </c>
      <c r="E35" s="93">
        <v>45157.413416666765</v>
      </c>
      <c r="F35" s="93">
        <v>39477.306583333222</v>
      </c>
      <c r="H35" s="93"/>
    </row>
    <row r="36" spans="1:8">
      <c r="A36" s="92" t="s">
        <v>450</v>
      </c>
      <c r="B36" s="93">
        <v>394578.57999999996</v>
      </c>
      <c r="C36" s="93">
        <v>39457.858</v>
      </c>
      <c r="D36" s="93">
        <v>62420.841083330306</v>
      </c>
      <c r="E36" s="93">
        <v>101878.69908333031</v>
      </c>
      <c r="F36" s="93">
        <v>292699.88091666967</v>
      </c>
      <c r="H36" s="93"/>
    </row>
    <row r="37" spans="1:8">
      <c r="A37" s="92" t="s">
        <v>372</v>
      </c>
      <c r="B37" s="93">
        <v>9873.5</v>
      </c>
      <c r="C37" s="93">
        <v>1410.5</v>
      </c>
      <c r="D37" s="93">
        <v>2468.375</v>
      </c>
      <c r="E37" s="93">
        <v>3878.875</v>
      </c>
      <c r="F37" s="93">
        <v>5994.625</v>
      </c>
      <c r="H37" s="93"/>
    </row>
    <row r="38" spans="1:8">
      <c r="A38" s="92" t="s">
        <v>1565</v>
      </c>
      <c r="B38" s="93">
        <v>12541.84</v>
      </c>
      <c r="C38" s="93">
        <v>4180.6133333333337</v>
      </c>
      <c r="D38" s="93">
        <v>993.28305555560428</v>
      </c>
      <c r="E38" s="93">
        <v>5173.8963888889375</v>
      </c>
      <c r="F38" s="93">
        <v>7367.9436111110626</v>
      </c>
      <c r="H38" s="93"/>
    </row>
    <row r="39" spans="1:8">
      <c r="A39" s="92" t="s">
        <v>364</v>
      </c>
      <c r="B39" s="93">
        <v>416595.11</v>
      </c>
      <c r="C39" s="93">
        <v>42578.723857142853</v>
      </c>
      <c r="D39" s="93">
        <v>32032.182773809771</v>
      </c>
      <c r="E39" s="93">
        <v>74610.906630952624</v>
      </c>
      <c r="F39" s="93">
        <v>341984.20336904738</v>
      </c>
      <c r="H39" s="93"/>
    </row>
    <row r="40" spans="1:8">
      <c r="A40" s="92" t="s">
        <v>583</v>
      </c>
      <c r="B40" s="93">
        <v>97493.51</v>
      </c>
      <c r="C40" s="93">
        <v>10085.57</v>
      </c>
      <c r="D40" s="93">
        <v>69352.714444443962</v>
      </c>
      <c r="E40" s="93">
        <v>79438.284444443969</v>
      </c>
      <c r="F40" s="93">
        <v>18055.225555556033</v>
      </c>
      <c r="H40" s="93"/>
    </row>
    <row r="41" spans="1:8">
      <c r="A41" s="92" t="s">
        <v>1566</v>
      </c>
      <c r="B41" s="93">
        <v>832072.41999999993</v>
      </c>
      <c r="C41" s="93">
        <v>83207.241999999998</v>
      </c>
      <c r="D41" s="93">
        <v>22959.390249997017</v>
      </c>
      <c r="E41" s="93">
        <v>106166.63224999703</v>
      </c>
      <c r="F41" s="93">
        <v>725905.78775000293</v>
      </c>
      <c r="H41" s="93"/>
    </row>
    <row r="42" spans="1:8">
      <c r="A42" s="92" t="s">
        <v>1567</v>
      </c>
      <c r="B42" s="93">
        <v>973823.98</v>
      </c>
      <c r="C42" s="93">
        <v>112205.13133333335</v>
      </c>
      <c r="D42" s="93">
        <v>68940.79800000212</v>
      </c>
      <c r="E42" s="93">
        <v>181145.92933333546</v>
      </c>
      <c r="F42" s="93">
        <v>792678.05066666461</v>
      </c>
      <c r="H42" s="93"/>
    </row>
    <row r="43" spans="1:8">
      <c r="A43" s="92" t="s">
        <v>23</v>
      </c>
      <c r="B43" s="93">
        <v>6381.49</v>
      </c>
      <c r="C43" s="93">
        <v>2127.1633333333334</v>
      </c>
      <c r="D43" s="93">
        <v>1172.8900000000892</v>
      </c>
      <c r="E43" s="93">
        <v>3300.0533333334224</v>
      </c>
      <c r="F43" s="93">
        <v>3081.4366666665774</v>
      </c>
      <c r="H43" s="93"/>
    </row>
    <row r="44" spans="1:8">
      <c r="A44" s="92" t="s">
        <v>1568</v>
      </c>
      <c r="B44" s="93">
        <v>113080</v>
      </c>
      <c r="C44" s="93">
        <v>0</v>
      </c>
      <c r="D44" s="93">
        <v>113080</v>
      </c>
      <c r="E44" s="93">
        <v>113080</v>
      </c>
      <c r="F44" s="93">
        <v>0</v>
      </c>
      <c r="H44" s="93"/>
    </row>
    <row r="45" spans="1:8">
      <c r="A45" s="92" t="s">
        <v>574</v>
      </c>
      <c r="B45" s="93">
        <v>45822.07</v>
      </c>
      <c r="C45" s="93">
        <v>6546.01</v>
      </c>
      <c r="D45" s="93">
        <v>6546.0099999999948</v>
      </c>
      <c r="E45" s="93">
        <v>13092.019999999995</v>
      </c>
      <c r="F45" s="93">
        <v>32730.050000000003</v>
      </c>
      <c r="H45" s="93"/>
    </row>
    <row r="46" spans="1:8">
      <c r="A46" s="92" t="s">
        <v>1569</v>
      </c>
      <c r="B46" s="93">
        <v>477701.69999999995</v>
      </c>
      <c r="C46" s="93">
        <v>57010.396333333338</v>
      </c>
      <c r="D46" s="93">
        <v>17600.431111110109</v>
      </c>
      <c r="E46" s="93">
        <v>74610.82744444345</v>
      </c>
      <c r="F46" s="93">
        <v>403090.87255555659</v>
      </c>
      <c r="H46" s="93"/>
    </row>
    <row r="47" spans="1:8">
      <c r="A47" s="92" t="s">
        <v>1782</v>
      </c>
      <c r="B47" s="93">
        <v>377934.97</v>
      </c>
      <c r="C47" s="93">
        <v>0</v>
      </c>
      <c r="D47" s="93">
        <v>377934.97</v>
      </c>
      <c r="E47" s="93">
        <v>377934.97</v>
      </c>
      <c r="F47" s="93">
        <v>0</v>
      </c>
      <c r="H47" s="93"/>
    </row>
    <row r="48" spans="1:8">
      <c r="A48" s="92" t="s">
        <v>13</v>
      </c>
      <c r="B48" s="93">
        <v>568520.83000000007</v>
      </c>
      <c r="C48" s="93">
        <v>47075.18</v>
      </c>
      <c r="D48" s="93">
        <v>99553.75</v>
      </c>
      <c r="E48" s="93">
        <v>146628.93</v>
      </c>
      <c r="F48" s="93">
        <v>421891.89999999997</v>
      </c>
      <c r="H48" s="93"/>
    </row>
    <row r="49" spans="1:14">
      <c r="A49" s="92" t="s">
        <v>1983</v>
      </c>
      <c r="B49" s="93">
        <v>687735.87</v>
      </c>
      <c r="C49" s="93">
        <v>68773.587</v>
      </c>
      <c r="D49" s="93">
        <v>0</v>
      </c>
      <c r="E49" s="93">
        <v>68773.587</v>
      </c>
      <c r="F49" s="93">
        <v>618962.28300000005</v>
      </c>
      <c r="H49" s="93"/>
    </row>
    <row r="50" spans="1:14">
      <c r="A50" s="92" t="s">
        <v>1603</v>
      </c>
      <c r="B50" s="93">
        <v>108223.73</v>
      </c>
      <c r="C50" s="93">
        <v>15460.532857142854</v>
      </c>
      <c r="D50" s="93">
        <v>0</v>
      </c>
      <c r="E50" s="93">
        <v>15460.532857142854</v>
      </c>
      <c r="F50" s="93">
        <v>92763.197142857156</v>
      </c>
      <c r="H50" s="93"/>
    </row>
    <row r="51" spans="1:14">
      <c r="A51" s="103" t="s">
        <v>286</v>
      </c>
      <c r="B51" s="104">
        <f>SUM(B31:B50)</f>
        <v>5894146.1100000003</v>
      </c>
      <c r="C51" s="104">
        <f t="shared" ref="C51:F51" si="0">SUM(C31:C50)</f>
        <v>560185.21485714288</v>
      </c>
      <c r="D51" s="104">
        <f t="shared" si="0"/>
        <v>1118014.8496468216</v>
      </c>
      <c r="E51" s="104">
        <f t="shared" si="0"/>
        <v>1682292.0304761864</v>
      </c>
      <c r="F51" s="104">
        <f t="shared" si="0"/>
        <v>4211854.0795238139</v>
      </c>
    </row>
    <row r="52" spans="1:14">
      <c r="I52" s="92"/>
      <c r="J52" s="93"/>
      <c r="K52" s="93"/>
      <c r="L52" s="93"/>
      <c r="M52" s="93"/>
      <c r="N52" s="93"/>
    </row>
    <row r="53" spans="1:14">
      <c r="B53" s="93"/>
      <c r="E53" s="93"/>
    </row>
    <row r="54" spans="1:14">
      <c r="B54" s="93"/>
      <c r="E54" s="93"/>
    </row>
    <row r="55" spans="1:14">
      <c r="B55" s="93"/>
      <c r="E55" s="93"/>
    </row>
    <row r="56" spans="1:14">
      <c r="B56" s="93"/>
      <c r="E56" s="93"/>
    </row>
    <row r="57" spans="1:14">
      <c r="B57" s="93"/>
      <c r="C57" s="117"/>
      <c r="D57" s="117"/>
      <c r="E57" s="93"/>
    </row>
    <row r="58" spans="1:14">
      <c r="A58" s="123" t="s">
        <v>1604</v>
      </c>
    </row>
    <row r="59" spans="1:14">
      <c r="A59" s="272" t="s">
        <v>1984</v>
      </c>
      <c r="B59" s="272"/>
      <c r="C59" s="272"/>
      <c r="D59" s="272"/>
      <c r="E59" s="272"/>
      <c r="F59" s="272"/>
      <c r="G59" s="272"/>
      <c r="H59" s="272"/>
      <c r="I59" s="272"/>
    </row>
    <row r="60" spans="1:14">
      <c r="A60" s="123"/>
      <c r="B60" s="102" t="s">
        <v>1488</v>
      </c>
      <c r="C60" s="102" t="s">
        <v>1489</v>
      </c>
      <c r="D60" s="102" t="s">
        <v>1490</v>
      </c>
      <c r="E60" s="102" t="s">
        <v>1491</v>
      </c>
      <c r="F60" s="102" t="s">
        <v>1492</v>
      </c>
    </row>
    <row r="61" spans="1:14">
      <c r="A61" t="s">
        <v>1605</v>
      </c>
      <c r="B61" s="270">
        <f>14547.5*1.085+31951.07</f>
        <v>47735.107499999998</v>
      </c>
      <c r="C61" s="113">
        <f>+B61/7</f>
        <v>6819.301071428571</v>
      </c>
      <c r="D61" s="113">
        <v>0</v>
      </c>
      <c r="E61" s="113">
        <f>+C61</f>
        <v>6819.301071428571</v>
      </c>
      <c r="F61" s="113">
        <f>+B61-E61</f>
        <v>40915.806428571428</v>
      </c>
    </row>
    <row r="62" spans="1:14">
      <c r="A62" t="s">
        <v>1606</v>
      </c>
      <c r="B62" s="271">
        <f>26301.88*1.085+31951.08</f>
        <v>60488.6198</v>
      </c>
      <c r="C62" s="120">
        <f>+B62/7</f>
        <v>8641.2314000000006</v>
      </c>
      <c r="D62" s="120">
        <v>0</v>
      </c>
      <c r="E62" s="120">
        <f>+C62</f>
        <v>8641.2314000000006</v>
      </c>
      <c r="F62" s="120">
        <f>+B62-E62</f>
        <v>51847.388399999996</v>
      </c>
    </row>
    <row r="63" spans="1:14">
      <c r="B63" s="117">
        <f>+SUM(B61:B62)</f>
        <v>108223.7273</v>
      </c>
      <c r="C63" s="117">
        <f t="shared" ref="C63:F63" si="1">+SUM(C61:C62)</f>
        <v>15460.532471428571</v>
      </c>
      <c r="D63" s="117">
        <f t="shared" si="1"/>
        <v>0</v>
      </c>
      <c r="E63" s="117">
        <f t="shared" si="1"/>
        <v>15460.532471428571</v>
      </c>
      <c r="F63" s="117">
        <f t="shared" si="1"/>
        <v>92763.194828571432</v>
      </c>
    </row>
    <row r="64" spans="1:14">
      <c r="B64" s="116">
        <f>+B50-B63</f>
        <v>2.6999999972758815E-3</v>
      </c>
      <c r="C64" s="116">
        <f>+C50-C63</f>
        <v>3.8571428376599215E-4</v>
      </c>
      <c r="D64" s="116">
        <f>+D50-D63</f>
        <v>0</v>
      </c>
      <c r="E64" s="116">
        <f>+E50-E63</f>
        <v>3.8571428376599215E-4</v>
      </c>
      <c r="F64" s="116">
        <f>+F50-F63</f>
        <v>2.3142857244238257E-3</v>
      </c>
    </row>
    <row r="66" spans="2:2">
      <c r="B66" s="117"/>
    </row>
  </sheetData>
  <mergeCells count="1">
    <mergeCell ref="A1:F1"/>
  </mergeCells>
  <conditionalFormatting sqref="H52:H56">
    <cfRule type="duplicateValues" dxfId="11" priority="1"/>
    <cfRule type="duplicateValues" dxfId="10" priority="2"/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32CF-5F96-4666-A167-9EF9DCD18784}">
  <sheetPr>
    <tabColor theme="7" tint="0.79998168889431442"/>
    <pageSetUpPr fitToPage="1"/>
  </sheetPr>
  <dimension ref="B1:AX632"/>
  <sheetViews>
    <sheetView showGridLines="0" topLeftCell="A8" zoomScaleNormal="100" workbookViewId="0">
      <pane xSplit="4" ySplit="9" topLeftCell="W122" activePane="bottomRight" state="frozen"/>
      <selection activeCell="A8" sqref="A8"/>
      <selection pane="topRight" activeCell="E8" sqref="E8"/>
      <selection pane="bottomLeft" activeCell="A17" sqref="A17"/>
      <selection pane="bottomRight" activeCell="AW50" sqref="AW50"/>
    </sheetView>
  </sheetViews>
  <sheetFormatPr defaultRowHeight="15" outlineLevelCol="1"/>
  <cols>
    <col min="1" max="1" width="1.7109375" customWidth="1"/>
    <col min="2" max="3" width="9.7109375" customWidth="1"/>
    <col min="4" max="4" width="15" customWidth="1"/>
    <col min="5" max="5" width="13.85546875" customWidth="1"/>
    <col min="6" max="6" width="12.7109375" customWidth="1"/>
    <col min="7" max="7" width="15.7109375" customWidth="1"/>
    <col min="8" max="8" width="12.7109375" customWidth="1"/>
    <col min="9" max="9" width="9.7109375" hidden="1" customWidth="1"/>
    <col min="10" max="10" width="24.7109375" customWidth="1" outlineLevel="1"/>
    <col min="11" max="11" width="9.7109375" customWidth="1" outlineLevel="1"/>
    <col min="12" max="12" width="23.5703125" customWidth="1" outlineLevel="1"/>
    <col min="13" max="13" width="15.7109375" customWidth="1" outlineLevel="1"/>
    <col min="14" max="14" width="17.28515625" customWidth="1" outlineLevel="1"/>
    <col min="15" max="15" width="17.7109375" customWidth="1" outlineLevel="1"/>
    <col min="16" max="16" width="26.28515625" customWidth="1" outlineLevel="1"/>
    <col min="17" max="17" width="9.7109375" customWidth="1" outlineLevel="1"/>
    <col min="18" max="18" width="15.7109375" customWidth="1" outlineLevel="1"/>
    <col min="19" max="19" width="10.7109375" customWidth="1" outlineLevel="1"/>
    <col min="20" max="20" width="14.28515625" customWidth="1" outlineLevel="1"/>
    <col min="21" max="21" width="19.140625" customWidth="1" outlineLevel="1"/>
    <col min="22" max="23" width="9.7109375" customWidth="1" outlineLevel="1"/>
    <col min="24" max="24" width="14.7109375" customWidth="1"/>
    <col min="25" max="25" width="9.7109375" hidden="1" customWidth="1" outlineLevel="1"/>
    <col min="26" max="27" width="14.7109375" hidden="1" customWidth="1" outlineLevel="1"/>
    <col min="28" max="28" width="14.7109375" style="82" hidden="1" customWidth="1" outlineLevel="1"/>
    <col min="29" max="29" width="9.140625" hidden="1" customWidth="1" outlineLevel="1"/>
    <col min="30" max="30" width="14.7109375" hidden="1" customWidth="1" outlineLevel="1"/>
    <col min="31" max="36" width="9.140625" hidden="1" customWidth="1" outlineLevel="1"/>
    <col min="37" max="37" width="9.140625" customWidth="1" collapsed="1"/>
    <col min="38" max="38" width="35.140625" customWidth="1"/>
    <col min="39" max="39" width="29.7109375" customWidth="1"/>
    <col min="47" max="48" width="9.5703125" bestFit="1" customWidth="1"/>
    <col min="49" max="49" width="17.140625" customWidth="1"/>
  </cols>
  <sheetData>
    <row r="1" spans="2:50">
      <c r="B1" t="s">
        <v>1473</v>
      </c>
      <c r="C1" t="s">
        <v>1472</v>
      </c>
      <c r="D1" t="s">
        <v>1471</v>
      </c>
      <c r="E1" t="s">
        <v>1577</v>
      </c>
      <c r="F1" t="s">
        <v>581</v>
      </c>
      <c r="I1" t="s">
        <v>1612</v>
      </c>
      <c r="J1" t="s">
        <v>1470</v>
      </c>
      <c r="K1" t="s">
        <v>1469</v>
      </c>
      <c r="L1" t="s">
        <v>1468</v>
      </c>
      <c r="M1" t="s">
        <v>1467</v>
      </c>
      <c r="N1" t="s">
        <v>1613</v>
      </c>
      <c r="O1" t="s">
        <v>1614</v>
      </c>
      <c r="P1" t="s">
        <v>1466</v>
      </c>
      <c r="Q1" t="s">
        <v>1615</v>
      </c>
      <c r="R1" t="s">
        <v>1616</v>
      </c>
      <c r="S1" t="s">
        <v>1465</v>
      </c>
      <c r="T1" t="s">
        <v>1464</v>
      </c>
      <c r="U1" t="s">
        <v>1463</v>
      </c>
      <c r="V1" t="s">
        <v>1462</v>
      </c>
      <c r="W1" t="s">
        <v>1461</v>
      </c>
      <c r="X1" t="s">
        <v>1460</v>
      </c>
      <c r="Y1" t="s">
        <v>1459</v>
      </c>
      <c r="Z1" t="s">
        <v>1458</v>
      </c>
      <c r="AB1" s="82" t="s">
        <v>1457</v>
      </c>
      <c r="AC1" t="s">
        <v>1456</v>
      </c>
      <c r="AD1" t="s">
        <v>1455</v>
      </c>
      <c r="AE1" t="s">
        <v>1454</v>
      </c>
      <c r="AF1" t="s">
        <v>1453</v>
      </c>
      <c r="AG1" t="s">
        <v>1452</v>
      </c>
      <c r="AH1" t="s">
        <v>1451</v>
      </c>
      <c r="AI1" t="s">
        <v>1450</v>
      </c>
      <c r="AJ1" t="s">
        <v>1617</v>
      </c>
      <c r="AK1" t="s">
        <v>1618</v>
      </c>
      <c r="AL1" t="s">
        <v>1619</v>
      </c>
    </row>
    <row r="2" spans="2:50">
      <c r="B2" s="122"/>
      <c r="C2" s="132"/>
      <c r="D2" s="122"/>
      <c r="E2" s="92"/>
      <c r="I2" s="122"/>
      <c r="J2" s="92"/>
      <c r="K2" s="122"/>
      <c r="L2" s="92"/>
      <c r="M2" s="92"/>
      <c r="N2" s="92"/>
      <c r="O2" s="92"/>
      <c r="P2" s="92"/>
      <c r="Q2" s="92"/>
      <c r="R2" s="92"/>
      <c r="S2" s="133"/>
      <c r="T2" s="133"/>
      <c r="U2" s="92"/>
      <c r="V2" s="122"/>
      <c r="W2" s="122"/>
      <c r="X2" s="113"/>
      <c r="Y2" s="122"/>
      <c r="Z2" s="113"/>
      <c r="AA2" s="113">
        <f>+X2-Z2</f>
        <v>0</v>
      </c>
      <c r="AB2" s="113"/>
      <c r="AC2" s="122"/>
      <c r="AD2" s="113"/>
      <c r="AE2" s="122"/>
      <c r="AF2" s="92"/>
      <c r="AG2" s="92"/>
      <c r="AH2" s="92"/>
      <c r="AI2" s="92"/>
      <c r="AJ2" s="92"/>
      <c r="AK2" s="92"/>
      <c r="AL2" s="92"/>
    </row>
    <row r="3" spans="2:50">
      <c r="B3" t="str">
        <f ca="1">_xll.ReportRange("FARReport",A17:AL633,A1:AL1,A2:AL2,_xll.Param($C$13,$C$14,C15,$J$13,$J$14,$J$15,$G$14,O15,$P$13,$P$14,M13,M14,$G$15,CELL("address",$D$10)),TRUE,FALSE)</f>
        <v>OK!: ReportRange Formula OK [jAction{}]</v>
      </c>
      <c r="F3" t="str">
        <f ca="1">_xll.ReportDrill([22]ProjDepr!D3,,_xll.PairGroup(_xll.Pair('FAR 4.2024'!C13,[22]ProjDepr!D19),_xll.Pair("C:B",[22]ProjDepr!D20),_xll.Pair("C:C",[22]ProjDepr!D21),_xll.Pair("C:W",[22]ProjDepr!D22)),"Projected Depr")</f>
        <v>OK!: ReportDrill 'Projected Depr' Formula OK [jAction{}]</v>
      </c>
      <c r="N3" s="134" t="s">
        <v>1620</v>
      </c>
      <c r="O3" s="135">
        <f ca="1">MONTH(NOW())</f>
        <v>6</v>
      </c>
    </row>
    <row r="4" spans="2:50">
      <c r="B4" t="str">
        <f ca="1">_xll.jFreezePanes(E17,A8)</f>
        <v xml:space="preserve">&gt; jFreezePanes is ready. </v>
      </c>
      <c r="F4" s="3" t="str">
        <f ca="1">_xll.ReportDrill([22]Invoice!$C$2,,_xll.PairGroup(_xll.Pair("C:U",[22]Invoice!$E$7),_xll.Pair("",[22]Invoice!$E$8,"N"),_xll.Pair("",[22]Invoice!$E$9,"n")),"Drill To All Invoices by PO#")</f>
        <v>OK!: ReportDrill 'Drill To All Invoices by PO#' Formula OK [jAction{}]</v>
      </c>
      <c r="N4" s="134" t="s">
        <v>1621</v>
      </c>
      <c r="O4" s="135">
        <f ca="1">IF(O3=12,YEAR(NOW()),YEAR(NOW()))</f>
        <v>2024</v>
      </c>
      <c r="Q4" s="89"/>
      <c r="R4" s="89"/>
      <c r="W4" s="3"/>
      <c r="Y4" s="3"/>
      <c r="AA4" s="3"/>
      <c r="AB4" s="88"/>
    </row>
    <row r="5" spans="2:50">
      <c r="B5" t="str">
        <f ca="1">_xll.jFocus(C13)</f>
        <v xml:space="preserve">&gt; jFocus is ready. </v>
      </c>
      <c r="F5" s="3" t="str">
        <f ca="1">_xll.ReportDrill([22]Invoice!$C$2,,_xll.PairGroup(_xll.Pair("C:U",[22]Invoice!$E$7),_xll.Pair("",[22]Invoice!$E$8,"N"),_xll.Pair("C:AE",[22]Invoice!$E$9,"n")),"Drill to Invoice by PO# and Invoice #")</f>
        <v>OK!: ReportDrill 'Drill to Invoice by PO# and Invoice #' Formula OK [jAction{}]</v>
      </c>
      <c r="M5" s="90"/>
      <c r="N5" s="90"/>
      <c r="P5" s="89"/>
      <c r="Q5" s="89"/>
      <c r="R5" s="89"/>
      <c r="W5" s="3"/>
      <c r="X5" s="3"/>
      <c r="Y5" s="3"/>
      <c r="Z5" s="3"/>
      <c r="AA5" s="3"/>
      <c r="AB5" s="88"/>
      <c r="AC5" s="3"/>
    </row>
    <row r="6" spans="2:50">
      <c r="M6" s="90"/>
      <c r="N6" s="90"/>
      <c r="O6" s="3"/>
      <c r="P6" s="89"/>
      <c r="Q6" s="89"/>
      <c r="R6" s="89"/>
      <c r="W6" s="3"/>
      <c r="X6" s="3"/>
      <c r="Y6" s="3"/>
      <c r="Z6" s="3"/>
      <c r="AA6" s="3"/>
      <c r="AB6" s="88"/>
      <c r="AC6" s="3"/>
    </row>
    <row r="7" spans="2:50" ht="15.75" thickBot="1">
      <c r="AB7"/>
    </row>
    <row r="8" spans="2:50" ht="9.9499999999999993" customHeight="1">
      <c r="B8" s="136"/>
      <c r="C8" s="137"/>
      <c r="D8" s="137"/>
      <c r="E8" s="137"/>
      <c r="F8" s="137"/>
      <c r="G8" s="137"/>
      <c r="H8" s="137"/>
      <c r="I8" s="138"/>
      <c r="J8" s="139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40"/>
      <c r="AB8" s="137"/>
      <c r="AC8" s="137"/>
      <c r="AD8" s="137"/>
      <c r="AE8" s="137"/>
      <c r="AF8" s="137"/>
      <c r="AG8" s="137"/>
      <c r="AH8" s="137"/>
      <c r="AI8" s="137"/>
      <c r="AJ8" s="137"/>
      <c r="AK8" s="98">
        <v>3</v>
      </c>
      <c r="AL8" s="141" t="s">
        <v>1560</v>
      </c>
    </row>
    <row r="9" spans="2:50" ht="18.75">
      <c r="B9" s="142" t="s">
        <v>1449</v>
      </c>
      <c r="C9" s="83"/>
      <c r="D9" s="83"/>
      <c r="E9" s="83"/>
      <c r="F9" s="83"/>
      <c r="G9" s="83"/>
      <c r="H9" s="83"/>
      <c r="I9" s="143"/>
      <c r="J9" s="143"/>
      <c r="K9" s="143"/>
      <c r="L9" s="83"/>
      <c r="M9" s="143"/>
      <c r="N9" s="143"/>
      <c r="O9" s="143"/>
      <c r="P9" s="83"/>
      <c r="Q9" s="143"/>
      <c r="R9" s="143"/>
      <c r="S9" s="83"/>
      <c r="T9" s="143"/>
      <c r="U9" s="143"/>
      <c r="V9" s="143"/>
      <c r="W9" s="83"/>
      <c r="X9" s="143"/>
      <c r="Y9" s="143"/>
      <c r="Z9" s="143"/>
      <c r="AA9" s="85"/>
      <c r="AB9" s="83"/>
      <c r="AC9" s="83"/>
      <c r="AD9" s="83"/>
      <c r="AE9" s="83"/>
      <c r="AF9" s="83"/>
      <c r="AG9" s="83"/>
      <c r="AH9" s="83"/>
      <c r="AI9" s="83"/>
      <c r="AJ9" s="83"/>
      <c r="AK9" s="98">
        <v>2</v>
      </c>
      <c r="AL9" s="141" t="s">
        <v>1561</v>
      </c>
    </row>
    <row r="10" spans="2:50">
      <c r="B10" s="144" t="s">
        <v>1622</v>
      </c>
      <c r="C10" s="83"/>
      <c r="D10" s="145">
        <v>45418</v>
      </c>
      <c r="E10" s="83"/>
      <c r="F10" s="83"/>
      <c r="G10" s="83"/>
      <c r="H10" s="83"/>
      <c r="I10" s="143"/>
      <c r="J10" s="143"/>
      <c r="K10" s="143"/>
      <c r="L10" s="83"/>
      <c r="M10" s="143"/>
      <c r="N10" s="143"/>
      <c r="O10" s="143"/>
      <c r="P10" s="83"/>
      <c r="Q10" s="143"/>
      <c r="R10" s="143"/>
      <c r="S10" s="83"/>
      <c r="T10" s="143"/>
      <c r="U10" s="143"/>
      <c r="V10" s="143"/>
      <c r="W10" s="83"/>
      <c r="X10" s="143"/>
      <c r="Y10" s="143"/>
      <c r="Z10" s="143"/>
      <c r="AA10" s="83"/>
      <c r="AB10" s="85"/>
      <c r="AC10" s="83"/>
      <c r="AD10" s="83"/>
      <c r="AE10" s="83"/>
      <c r="AF10" s="83"/>
      <c r="AG10" s="83"/>
      <c r="AH10" s="83"/>
      <c r="AI10" s="83"/>
      <c r="AJ10" s="83"/>
      <c r="AK10" s="99">
        <v>2023</v>
      </c>
      <c r="AL10" s="141" t="s">
        <v>455</v>
      </c>
    </row>
    <row r="11" spans="2:50">
      <c r="B11" s="144" t="s">
        <v>1623</v>
      </c>
      <c r="C11" s="83"/>
      <c r="D11" s="87">
        <f>COUNT(C17:C633)</f>
        <v>616</v>
      </c>
      <c r="E11" s="83"/>
      <c r="F11" s="83"/>
      <c r="G11" s="83"/>
      <c r="H11" s="83"/>
      <c r="I11" s="143"/>
      <c r="J11" s="143"/>
      <c r="K11" s="143"/>
      <c r="L11" s="83"/>
      <c r="M11" s="143"/>
      <c r="N11" s="143"/>
      <c r="O11" s="143"/>
      <c r="P11" s="83"/>
      <c r="Q11" s="143"/>
      <c r="R11" s="143"/>
      <c r="S11" s="83"/>
      <c r="T11" s="143"/>
      <c r="U11" s="143"/>
      <c r="V11" s="143"/>
      <c r="W11" s="83"/>
      <c r="X11" s="83"/>
      <c r="Y11" s="83"/>
      <c r="Z11" s="83"/>
      <c r="AA11" s="83"/>
      <c r="AB11" s="85"/>
      <c r="AC11" s="83"/>
      <c r="AD11" s="83"/>
      <c r="AE11" s="83"/>
      <c r="AF11" s="83"/>
      <c r="AG11" s="83"/>
      <c r="AH11" s="83"/>
      <c r="AI11" s="83"/>
      <c r="AJ11" s="83"/>
      <c r="AK11" s="99">
        <v>2024</v>
      </c>
      <c r="AL11" s="141" t="s">
        <v>1486</v>
      </c>
    </row>
    <row r="12" spans="2:50">
      <c r="B12" s="144"/>
      <c r="C12" s="83"/>
      <c r="D12" s="83"/>
      <c r="E12" s="83"/>
      <c r="F12" s="83"/>
      <c r="G12" s="83"/>
      <c r="H12" s="83"/>
      <c r="I12" s="83"/>
      <c r="J12" s="83"/>
      <c r="K12" s="83"/>
      <c r="L12" s="143"/>
      <c r="M12" s="143"/>
      <c r="N12" s="83"/>
      <c r="O12" s="83"/>
      <c r="P12" s="83"/>
      <c r="Q12" s="83"/>
      <c r="R12" s="83"/>
      <c r="S12" s="83"/>
      <c r="T12" s="113">
        <v>11216.73</v>
      </c>
      <c r="U12" s="83">
        <v>200</v>
      </c>
      <c r="V12" s="165">
        <f t="shared" ref="V12:V13" si="0">T12/U12</f>
        <v>56.083649999999999</v>
      </c>
      <c r="W12" s="83"/>
      <c r="X12" s="83"/>
      <c r="Y12" s="83"/>
      <c r="Z12" s="83"/>
      <c r="AA12" s="83"/>
      <c r="AB12" s="85"/>
      <c r="AC12" s="83"/>
      <c r="AD12" s="83"/>
      <c r="AE12" s="83"/>
      <c r="AF12" s="83"/>
      <c r="AG12" s="83"/>
      <c r="AH12" s="83"/>
      <c r="AI12" s="83"/>
      <c r="AJ12" s="83"/>
      <c r="AK12" s="146">
        <f>+AK11+(AK9/12)</f>
        <v>2024.1666666666667</v>
      </c>
      <c r="AL12" s="141" t="s">
        <v>1562</v>
      </c>
    </row>
    <row r="13" spans="2:50">
      <c r="B13" s="147" t="s">
        <v>1624</v>
      </c>
      <c r="C13" s="163" t="s">
        <v>1783</v>
      </c>
      <c r="D13" s="163"/>
      <c r="E13" s="143"/>
      <c r="F13" s="149" t="s">
        <v>1625</v>
      </c>
      <c r="G13" s="148" t="s">
        <v>1626</v>
      </c>
      <c r="H13" s="143"/>
      <c r="I13" s="149" t="s">
        <v>1627</v>
      </c>
      <c r="J13" s="148"/>
      <c r="K13" s="86"/>
      <c r="L13" s="149" t="s">
        <v>1628</v>
      </c>
      <c r="M13" s="148"/>
      <c r="N13" s="83"/>
      <c r="O13" s="149" t="s">
        <v>1629</v>
      </c>
      <c r="P13" s="150"/>
      <c r="Q13" s="143"/>
      <c r="R13" s="143"/>
      <c r="S13" s="143"/>
      <c r="T13" s="113">
        <v>10611.3</v>
      </c>
      <c r="U13" s="85">
        <v>200</v>
      </c>
      <c r="V13" s="165">
        <f t="shared" si="0"/>
        <v>53.0565</v>
      </c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100">
        <f>+AK10+(AK8/12)</f>
        <v>2023.25</v>
      </c>
      <c r="AL13" s="141" t="s">
        <v>1563</v>
      </c>
    </row>
    <row r="14" spans="2:50">
      <c r="B14" s="147" t="s">
        <v>1630</v>
      </c>
      <c r="C14" s="163">
        <v>2149</v>
      </c>
      <c r="D14" s="163"/>
      <c r="E14" s="143"/>
      <c r="F14" s="151" t="s">
        <v>1631</v>
      </c>
      <c r="G14" s="148" t="s">
        <v>1632</v>
      </c>
      <c r="H14" s="143"/>
      <c r="I14" s="149" t="s">
        <v>1633</v>
      </c>
      <c r="J14" s="148"/>
      <c r="K14" s="86"/>
      <c r="L14" s="149" t="s">
        <v>1634</v>
      </c>
      <c r="M14" s="148"/>
      <c r="N14" s="83"/>
      <c r="O14" s="149" t="s">
        <v>1635</v>
      </c>
      <c r="P14" s="150"/>
      <c r="Q14" s="143"/>
      <c r="R14" s="143"/>
      <c r="S14" s="143"/>
      <c r="T14" s="113">
        <v>19068.439999999999</v>
      </c>
      <c r="U14" s="85">
        <v>340</v>
      </c>
      <c r="V14" s="165">
        <f>T14/U14</f>
        <v>56.083647058823523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152"/>
    </row>
    <row r="15" spans="2:50">
      <c r="B15" s="147" t="s">
        <v>1636</v>
      </c>
      <c r="C15" s="163"/>
      <c r="D15" s="163"/>
      <c r="E15" s="143"/>
      <c r="F15" s="149" t="s">
        <v>1637</v>
      </c>
      <c r="G15" s="148" t="s">
        <v>77</v>
      </c>
      <c r="H15" s="143"/>
      <c r="I15" s="149" t="s">
        <v>1638</v>
      </c>
      <c r="J15" s="148"/>
      <c r="K15" s="86"/>
      <c r="L15" s="143"/>
      <c r="M15" s="143"/>
      <c r="N15" s="149"/>
      <c r="O15" s="83"/>
      <c r="P15" s="83"/>
      <c r="Q15" s="143"/>
      <c r="R15" s="143"/>
      <c r="S15" s="143"/>
      <c r="T15" s="143"/>
      <c r="U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152"/>
    </row>
    <row r="16" spans="2:50" ht="45.75" thickBot="1">
      <c r="B16" s="153" t="s">
        <v>1639</v>
      </c>
      <c r="C16" s="84" t="s">
        <v>582</v>
      </c>
      <c r="D16" s="84" t="s">
        <v>1640</v>
      </c>
      <c r="E16" s="84" t="s">
        <v>1578</v>
      </c>
      <c r="F16" s="154" t="s">
        <v>581</v>
      </c>
      <c r="G16" s="154" t="s">
        <v>1641</v>
      </c>
      <c r="H16" s="154" t="s">
        <v>1642</v>
      </c>
      <c r="I16" s="84" t="s">
        <v>1612</v>
      </c>
      <c r="J16" s="84" t="s">
        <v>1643</v>
      </c>
      <c r="K16" s="84" t="s">
        <v>1447</v>
      </c>
      <c r="L16" s="84" t="s">
        <v>1644</v>
      </c>
      <c r="M16" s="84" t="s">
        <v>1446</v>
      </c>
      <c r="N16" s="84" t="s">
        <v>1645</v>
      </c>
      <c r="O16" s="84" t="s">
        <v>1646</v>
      </c>
      <c r="P16" s="84" t="s">
        <v>1647</v>
      </c>
      <c r="Q16" s="84" t="s">
        <v>1648</v>
      </c>
      <c r="R16" s="84" t="s">
        <v>1649</v>
      </c>
      <c r="S16" s="84" t="s">
        <v>1445</v>
      </c>
      <c r="T16" s="84" t="s">
        <v>1650</v>
      </c>
      <c r="U16" s="84" t="s">
        <v>1444</v>
      </c>
      <c r="V16" s="84" t="s">
        <v>1443</v>
      </c>
      <c r="W16" s="84" t="s">
        <v>1442</v>
      </c>
      <c r="X16" s="84" t="s">
        <v>1651</v>
      </c>
      <c r="Y16" s="84" t="s">
        <v>1652</v>
      </c>
      <c r="Z16" s="84" t="s">
        <v>1653</v>
      </c>
      <c r="AA16" s="84" t="s">
        <v>1441</v>
      </c>
      <c r="AB16" s="84" t="s">
        <v>1654</v>
      </c>
      <c r="AC16" s="84" t="s">
        <v>1440</v>
      </c>
      <c r="AD16" s="84" t="s">
        <v>1655</v>
      </c>
      <c r="AE16" s="84" t="s">
        <v>1656</v>
      </c>
      <c r="AF16" s="84" t="s">
        <v>1439</v>
      </c>
      <c r="AG16" s="84" t="s">
        <v>1438</v>
      </c>
      <c r="AH16" s="84" t="s">
        <v>1437</v>
      </c>
      <c r="AI16" s="84" t="s">
        <v>1657</v>
      </c>
      <c r="AJ16" s="84" t="s">
        <v>1658</v>
      </c>
      <c r="AK16" s="155" t="s">
        <v>580</v>
      </c>
      <c r="AL16" s="155" t="s">
        <v>1659</v>
      </c>
      <c r="AM16" s="155" t="s">
        <v>1493</v>
      </c>
      <c r="AN16" s="155" t="s">
        <v>1475</v>
      </c>
      <c r="AO16" s="155" t="s">
        <v>1476</v>
      </c>
      <c r="AP16" s="155" t="s">
        <v>1477</v>
      </c>
      <c r="AQ16" s="155" t="s">
        <v>1478</v>
      </c>
      <c r="AR16" s="155" t="s">
        <v>1479</v>
      </c>
      <c r="AS16" s="155" t="s">
        <v>1480</v>
      </c>
      <c r="AT16" s="155" t="s">
        <v>1481</v>
      </c>
      <c r="AU16" s="155" t="s">
        <v>1482</v>
      </c>
      <c r="AV16" s="155" t="s">
        <v>1483</v>
      </c>
      <c r="AW16" s="155" t="s">
        <v>1484</v>
      </c>
      <c r="AX16" s="156" t="s">
        <v>1485</v>
      </c>
    </row>
    <row r="17" spans="2:50">
      <c r="B17" s="157">
        <v>2149</v>
      </c>
      <c r="C17" s="158">
        <v>404472</v>
      </c>
      <c r="D17" s="157">
        <v>404157</v>
      </c>
      <c r="E17" s="159" t="s">
        <v>1626</v>
      </c>
      <c r="F17" s="160" t="s">
        <v>1835</v>
      </c>
      <c r="G17" s="160"/>
      <c r="H17" s="160"/>
      <c r="I17" s="157">
        <v>1</v>
      </c>
      <c r="J17" s="159" t="s">
        <v>1832</v>
      </c>
      <c r="K17" s="157">
        <v>2024</v>
      </c>
      <c r="L17" s="159" t="s">
        <v>1212</v>
      </c>
      <c r="M17" s="159" t="s">
        <v>1212</v>
      </c>
      <c r="N17" s="159" t="s">
        <v>1788</v>
      </c>
      <c r="O17" s="159" t="s">
        <v>1833</v>
      </c>
      <c r="P17" s="159" t="s">
        <v>1009</v>
      </c>
      <c r="Q17" s="159"/>
      <c r="R17" s="159"/>
      <c r="S17" s="161">
        <v>45337</v>
      </c>
      <c r="T17" s="161">
        <v>45382</v>
      </c>
      <c r="U17" s="159" t="s">
        <v>1834</v>
      </c>
      <c r="V17" s="157">
        <v>1000</v>
      </c>
      <c r="W17" s="157">
        <v>14040</v>
      </c>
      <c r="X17" s="162">
        <v>3559.25</v>
      </c>
      <c r="Y17" s="157">
        <v>14046</v>
      </c>
      <c r="Z17" s="162">
        <v>88.98</v>
      </c>
      <c r="AA17" s="162">
        <v>3470.27</v>
      </c>
      <c r="AB17" s="162">
        <v>88.98</v>
      </c>
      <c r="AC17" s="157">
        <v>51260</v>
      </c>
      <c r="AD17" s="162">
        <v>29.66</v>
      </c>
      <c r="AE17" s="157" t="s">
        <v>433</v>
      </c>
      <c r="AF17" s="159"/>
      <c r="AG17" s="159"/>
      <c r="AH17" s="159" t="s">
        <v>2</v>
      </c>
      <c r="AI17" s="159" t="s">
        <v>1785</v>
      </c>
      <c r="AJ17" s="159" t="s">
        <v>1787</v>
      </c>
      <c r="AK17" s="159">
        <v>0</v>
      </c>
      <c r="AL17" s="159" t="s">
        <v>13</v>
      </c>
      <c r="AM17" s="159" t="s">
        <v>1983</v>
      </c>
      <c r="AN17" s="275">
        <f t="shared" ref="AN17:AN48" si="1">MONTH($S17)</f>
        <v>2</v>
      </c>
      <c r="AO17" s="275">
        <f t="shared" ref="AO17:AO48" si="2">YEAR($S17)</f>
        <v>2024</v>
      </c>
      <c r="AP17" s="276">
        <f t="shared" ref="AP17:AP48" si="3">$AO17+($V17/100)</f>
        <v>2034</v>
      </c>
      <c r="AQ17" s="277">
        <f t="shared" ref="AQ17:AQ48" si="4">$AP17+($AN17/12)</f>
        <v>2034.1666666666667</v>
      </c>
      <c r="AR17" s="278">
        <f t="shared" ref="AR17:AR48" si="5">IFERROR($X17/($V17/100)/12,0)</f>
        <v>29.660416666666666</v>
      </c>
      <c r="AS17" s="279">
        <f t="shared" ref="AS17:AS48" si="6">$AR17*12</f>
        <v>355.92500000000001</v>
      </c>
      <c r="AT17" s="279">
        <f t="shared" ref="AT17:AT48" si="7">IF(AQ17&lt;$AK$12,0,AS17)</f>
        <v>355.92500000000001</v>
      </c>
      <c r="AU17" s="279">
        <f t="shared" ref="AU17:AU48" si="8">IF(AQ17&lt;=$AK$13,X17,IF((AO17+(AN17/12))&gt;=$AK$13,0,((X17-((AQ17-$AK$13)*12)*AR17))))</f>
        <v>0</v>
      </c>
      <c r="AV17" s="279">
        <f t="shared" ref="AV17:AV48" si="9">IF(AQ17&lt;$AK$12,X17,AT17+AU17)</f>
        <v>355.92500000000001</v>
      </c>
      <c r="AW17" s="280">
        <f t="shared" ref="AW17:AW48" si="10">+X17-AV17</f>
        <v>3203.3249999999998</v>
      </c>
      <c r="AX17" s="281" t="s">
        <v>77</v>
      </c>
    </row>
    <row r="18" spans="2:50">
      <c r="B18" s="157">
        <v>2149</v>
      </c>
      <c r="C18" s="158">
        <v>404305</v>
      </c>
      <c r="D18" s="157" t="s">
        <v>433</v>
      </c>
      <c r="E18" s="159" t="s">
        <v>1626</v>
      </c>
      <c r="F18" s="160" t="s">
        <v>1842</v>
      </c>
      <c r="G18" s="160"/>
      <c r="H18" s="160"/>
      <c r="I18" s="157">
        <v>200</v>
      </c>
      <c r="J18" s="159"/>
      <c r="K18" s="157">
        <v>0</v>
      </c>
      <c r="L18" s="159"/>
      <c r="M18" s="159"/>
      <c r="N18" s="159" t="s">
        <v>646</v>
      </c>
      <c r="O18" s="159" t="s">
        <v>1843</v>
      </c>
      <c r="P18" s="159"/>
      <c r="Q18" s="159" t="s">
        <v>1844</v>
      </c>
      <c r="R18" s="159" t="s">
        <v>1845</v>
      </c>
      <c r="S18" s="161">
        <v>45369</v>
      </c>
      <c r="T18" s="161">
        <v>45369</v>
      </c>
      <c r="U18" s="159" t="s">
        <v>1846</v>
      </c>
      <c r="V18" s="157">
        <v>700</v>
      </c>
      <c r="W18" s="157">
        <v>14050</v>
      </c>
      <c r="X18" s="162">
        <v>11216.73</v>
      </c>
      <c r="Y18" s="157">
        <v>14056</v>
      </c>
      <c r="Z18" s="162">
        <v>133.53</v>
      </c>
      <c r="AA18" s="162">
        <v>11083.199999999999</v>
      </c>
      <c r="AB18" s="162">
        <v>133.53</v>
      </c>
      <c r="AC18" s="157">
        <v>54260</v>
      </c>
      <c r="AD18" s="162">
        <v>133.53</v>
      </c>
      <c r="AE18" s="157" t="s">
        <v>433</v>
      </c>
      <c r="AF18" s="159"/>
      <c r="AG18" s="159"/>
      <c r="AH18" s="159" t="s">
        <v>2</v>
      </c>
      <c r="AI18" s="159" t="s">
        <v>1785</v>
      </c>
      <c r="AJ18" s="159" t="s">
        <v>1787</v>
      </c>
      <c r="AK18" s="159"/>
      <c r="AL18" s="274" t="s">
        <v>1603</v>
      </c>
      <c r="AM18" s="274" t="s">
        <v>1603</v>
      </c>
      <c r="AN18" s="275">
        <f t="shared" si="1"/>
        <v>3</v>
      </c>
      <c r="AO18" s="275">
        <f t="shared" si="2"/>
        <v>2024</v>
      </c>
      <c r="AP18" s="276">
        <f t="shared" si="3"/>
        <v>2031</v>
      </c>
      <c r="AQ18" s="277">
        <f t="shared" si="4"/>
        <v>2031.25</v>
      </c>
      <c r="AR18" s="278">
        <f t="shared" si="5"/>
        <v>133.5325</v>
      </c>
      <c r="AS18" s="279">
        <f t="shared" si="6"/>
        <v>1602.3899999999999</v>
      </c>
      <c r="AT18" s="279">
        <f t="shared" si="7"/>
        <v>1602.3899999999999</v>
      </c>
      <c r="AU18" s="279">
        <f t="shared" si="8"/>
        <v>0</v>
      </c>
      <c r="AV18" s="279">
        <f t="shared" si="9"/>
        <v>1602.3899999999999</v>
      </c>
      <c r="AW18" s="280">
        <f t="shared" si="10"/>
        <v>9614.34</v>
      </c>
      <c r="AX18" s="281" t="s">
        <v>77</v>
      </c>
    </row>
    <row r="19" spans="2:50">
      <c r="B19" s="157">
        <v>2149</v>
      </c>
      <c r="C19" s="158">
        <v>404304</v>
      </c>
      <c r="D19" s="157" t="s">
        <v>433</v>
      </c>
      <c r="E19" s="159" t="s">
        <v>1626</v>
      </c>
      <c r="F19" s="160" t="s">
        <v>1847</v>
      </c>
      <c r="G19" s="160"/>
      <c r="H19" s="160"/>
      <c r="I19" s="157">
        <v>200</v>
      </c>
      <c r="J19" s="159"/>
      <c r="K19" s="157">
        <v>0</v>
      </c>
      <c r="L19" s="159"/>
      <c r="M19" s="159"/>
      <c r="N19" s="159" t="s">
        <v>646</v>
      </c>
      <c r="O19" s="159" t="s">
        <v>1843</v>
      </c>
      <c r="P19" s="159"/>
      <c r="Q19" s="159" t="s">
        <v>1848</v>
      </c>
      <c r="R19" s="159" t="s">
        <v>1845</v>
      </c>
      <c r="S19" s="161">
        <v>45369</v>
      </c>
      <c r="T19" s="161">
        <v>45369</v>
      </c>
      <c r="U19" s="159" t="s">
        <v>1846</v>
      </c>
      <c r="V19" s="157">
        <v>700</v>
      </c>
      <c r="W19" s="157">
        <v>14050</v>
      </c>
      <c r="X19" s="162">
        <v>10611.3</v>
      </c>
      <c r="Y19" s="157">
        <v>14056</v>
      </c>
      <c r="Z19" s="162">
        <v>126.33</v>
      </c>
      <c r="AA19" s="162">
        <v>10484.969999999999</v>
      </c>
      <c r="AB19" s="162">
        <v>126.33</v>
      </c>
      <c r="AC19" s="157">
        <v>54260</v>
      </c>
      <c r="AD19" s="162">
        <v>126.33</v>
      </c>
      <c r="AE19" s="157" t="s">
        <v>433</v>
      </c>
      <c r="AF19" s="159"/>
      <c r="AG19" s="159"/>
      <c r="AH19" s="159" t="s">
        <v>2</v>
      </c>
      <c r="AI19" s="159" t="s">
        <v>1785</v>
      </c>
      <c r="AJ19" s="159" t="s">
        <v>1787</v>
      </c>
      <c r="AK19" s="159"/>
      <c r="AL19" s="159" t="s">
        <v>573</v>
      </c>
      <c r="AM19" s="159" t="s">
        <v>573</v>
      </c>
      <c r="AN19" s="275">
        <f t="shared" si="1"/>
        <v>3</v>
      </c>
      <c r="AO19" s="275">
        <f t="shared" si="2"/>
        <v>2024</v>
      </c>
      <c r="AP19" s="276">
        <f t="shared" si="3"/>
        <v>2031</v>
      </c>
      <c r="AQ19" s="277">
        <f t="shared" si="4"/>
        <v>2031.25</v>
      </c>
      <c r="AR19" s="278">
        <f t="shared" si="5"/>
        <v>126.32499999999999</v>
      </c>
      <c r="AS19" s="279">
        <f t="shared" si="6"/>
        <v>1515.8999999999999</v>
      </c>
      <c r="AT19" s="279">
        <f t="shared" si="7"/>
        <v>1515.8999999999999</v>
      </c>
      <c r="AU19" s="279">
        <f t="shared" si="8"/>
        <v>0</v>
      </c>
      <c r="AV19" s="279">
        <f t="shared" si="9"/>
        <v>1515.8999999999999</v>
      </c>
      <c r="AW19" s="280">
        <f t="shared" si="10"/>
        <v>9095.4</v>
      </c>
      <c r="AX19" s="281" t="s">
        <v>77</v>
      </c>
    </row>
    <row r="20" spans="2:50">
      <c r="B20" s="157">
        <v>2149</v>
      </c>
      <c r="C20" s="158">
        <v>404277</v>
      </c>
      <c r="D20" s="157" t="s">
        <v>433</v>
      </c>
      <c r="E20" s="159" t="s">
        <v>1626</v>
      </c>
      <c r="F20" s="160" t="s">
        <v>1842</v>
      </c>
      <c r="G20" s="160"/>
      <c r="H20" s="160"/>
      <c r="I20" s="157">
        <v>340</v>
      </c>
      <c r="J20" s="159"/>
      <c r="K20" s="157">
        <v>0</v>
      </c>
      <c r="L20" s="159"/>
      <c r="M20" s="159"/>
      <c r="N20" s="159" t="s">
        <v>646</v>
      </c>
      <c r="O20" s="159" t="s">
        <v>1843</v>
      </c>
      <c r="P20" s="159"/>
      <c r="Q20" s="159" t="s">
        <v>1844</v>
      </c>
      <c r="R20" s="159" t="s">
        <v>1845</v>
      </c>
      <c r="S20" s="161">
        <v>45369</v>
      </c>
      <c r="T20" s="161">
        <v>45369</v>
      </c>
      <c r="U20" s="159" t="s">
        <v>1846</v>
      </c>
      <c r="V20" s="157">
        <v>700</v>
      </c>
      <c r="W20" s="157">
        <v>14050</v>
      </c>
      <c r="X20" s="162">
        <v>19068.439999999999</v>
      </c>
      <c r="Y20" s="157">
        <v>14056</v>
      </c>
      <c r="Z20" s="162">
        <v>227.01</v>
      </c>
      <c r="AA20" s="162">
        <v>18841.43</v>
      </c>
      <c r="AB20" s="162">
        <v>227.01</v>
      </c>
      <c r="AC20" s="157">
        <v>54260</v>
      </c>
      <c r="AD20" s="162">
        <v>227.01</v>
      </c>
      <c r="AE20" s="157" t="s">
        <v>433</v>
      </c>
      <c r="AF20" s="159"/>
      <c r="AG20" s="159"/>
      <c r="AH20" s="159" t="s">
        <v>2</v>
      </c>
      <c r="AI20" s="159" t="s">
        <v>1785</v>
      </c>
      <c r="AJ20" s="159" t="s">
        <v>1787</v>
      </c>
      <c r="AK20" s="159"/>
      <c r="AL20" s="274" t="s">
        <v>1603</v>
      </c>
      <c r="AM20" s="274" t="s">
        <v>1603</v>
      </c>
      <c r="AN20" s="275">
        <f t="shared" si="1"/>
        <v>3</v>
      </c>
      <c r="AO20" s="275">
        <f t="shared" si="2"/>
        <v>2024</v>
      </c>
      <c r="AP20" s="276">
        <f t="shared" si="3"/>
        <v>2031</v>
      </c>
      <c r="AQ20" s="277">
        <f t="shared" si="4"/>
        <v>2031.25</v>
      </c>
      <c r="AR20" s="278">
        <f t="shared" si="5"/>
        <v>227.00523809523807</v>
      </c>
      <c r="AS20" s="279">
        <f t="shared" si="6"/>
        <v>2724.062857142857</v>
      </c>
      <c r="AT20" s="279">
        <f t="shared" si="7"/>
        <v>2724.062857142857</v>
      </c>
      <c r="AU20" s="279">
        <f t="shared" si="8"/>
        <v>0</v>
      </c>
      <c r="AV20" s="279">
        <f t="shared" si="9"/>
        <v>2724.062857142857</v>
      </c>
      <c r="AW20" s="280">
        <f t="shared" si="10"/>
        <v>16344.377142857142</v>
      </c>
      <c r="AX20" s="281" t="s">
        <v>77</v>
      </c>
    </row>
    <row r="21" spans="2:50">
      <c r="B21" s="157">
        <v>2149</v>
      </c>
      <c r="C21" s="158">
        <v>404233</v>
      </c>
      <c r="D21" s="157" t="s">
        <v>433</v>
      </c>
      <c r="E21" s="159" t="s">
        <v>1626</v>
      </c>
      <c r="F21" s="160" t="s">
        <v>1673</v>
      </c>
      <c r="G21" s="160"/>
      <c r="H21" s="160"/>
      <c r="I21" s="157">
        <v>1</v>
      </c>
      <c r="J21" s="159" t="s">
        <v>1840</v>
      </c>
      <c r="K21" s="157">
        <v>2024</v>
      </c>
      <c r="L21" s="159" t="s">
        <v>1212</v>
      </c>
      <c r="M21" s="159" t="s">
        <v>1212</v>
      </c>
      <c r="N21" s="159" t="s">
        <v>1788</v>
      </c>
      <c r="O21" s="159" t="s">
        <v>1838</v>
      </c>
      <c r="P21" s="159" t="s">
        <v>1009</v>
      </c>
      <c r="Q21" s="159"/>
      <c r="R21" s="159"/>
      <c r="S21" s="161">
        <v>45329</v>
      </c>
      <c r="T21" s="161">
        <v>45329</v>
      </c>
      <c r="U21" s="159" t="s">
        <v>1841</v>
      </c>
      <c r="V21" s="157">
        <v>1000</v>
      </c>
      <c r="W21" s="157">
        <v>14040</v>
      </c>
      <c r="X21" s="162">
        <v>229615.72</v>
      </c>
      <c r="Y21" s="157">
        <v>14046</v>
      </c>
      <c r="Z21" s="162">
        <v>5740.38</v>
      </c>
      <c r="AA21" s="162">
        <v>223875.34</v>
      </c>
      <c r="AB21" s="162">
        <v>5740.38</v>
      </c>
      <c r="AC21" s="157">
        <v>51260</v>
      </c>
      <c r="AD21" s="162">
        <v>1913.46</v>
      </c>
      <c r="AE21" s="157" t="s">
        <v>433</v>
      </c>
      <c r="AF21" s="159"/>
      <c r="AG21" s="159"/>
      <c r="AH21" s="159" t="s">
        <v>2</v>
      </c>
      <c r="AI21" s="159" t="s">
        <v>1785</v>
      </c>
      <c r="AJ21" s="159" t="s">
        <v>1787</v>
      </c>
      <c r="AK21" s="159">
        <v>0</v>
      </c>
      <c r="AL21" s="159" t="s">
        <v>13</v>
      </c>
      <c r="AM21" s="159" t="s">
        <v>1983</v>
      </c>
      <c r="AN21" s="275">
        <f t="shared" si="1"/>
        <v>2</v>
      </c>
      <c r="AO21" s="275">
        <f t="shared" si="2"/>
        <v>2024</v>
      </c>
      <c r="AP21" s="276">
        <f t="shared" si="3"/>
        <v>2034</v>
      </c>
      <c r="AQ21" s="277">
        <f t="shared" si="4"/>
        <v>2034.1666666666667</v>
      </c>
      <c r="AR21" s="278">
        <f t="shared" si="5"/>
        <v>1913.4643333333333</v>
      </c>
      <c r="AS21" s="279">
        <f t="shared" si="6"/>
        <v>22961.572</v>
      </c>
      <c r="AT21" s="279">
        <f t="shared" si="7"/>
        <v>22961.572</v>
      </c>
      <c r="AU21" s="279">
        <f t="shared" si="8"/>
        <v>0</v>
      </c>
      <c r="AV21" s="279">
        <f t="shared" si="9"/>
        <v>22961.572</v>
      </c>
      <c r="AW21" s="280">
        <f t="shared" si="10"/>
        <v>206654.14799999999</v>
      </c>
      <c r="AX21" s="281" t="s">
        <v>77</v>
      </c>
    </row>
    <row r="22" spans="2:50">
      <c r="B22" s="157">
        <v>2149</v>
      </c>
      <c r="C22" s="158">
        <v>404232</v>
      </c>
      <c r="D22" s="157" t="s">
        <v>433</v>
      </c>
      <c r="E22" s="159" t="s">
        <v>1626</v>
      </c>
      <c r="F22" s="160" t="s">
        <v>1836</v>
      </c>
      <c r="G22" s="160"/>
      <c r="H22" s="160"/>
      <c r="I22" s="157">
        <v>1</v>
      </c>
      <c r="J22" s="159" t="s">
        <v>1837</v>
      </c>
      <c r="K22" s="157">
        <v>2024</v>
      </c>
      <c r="L22" s="159" t="s">
        <v>1212</v>
      </c>
      <c r="M22" s="159" t="s">
        <v>1212</v>
      </c>
      <c r="N22" s="159" t="s">
        <v>1788</v>
      </c>
      <c r="O22" s="159" t="s">
        <v>1838</v>
      </c>
      <c r="P22" s="159" t="s">
        <v>1009</v>
      </c>
      <c r="Q22" s="159"/>
      <c r="R22" s="159"/>
      <c r="S22" s="161">
        <v>45317</v>
      </c>
      <c r="T22" s="161">
        <v>45317</v>
      </c>
      <c r="U22" s="159" t="s">
        <v>1839</v>
      </c>
      <c r="V22" s="157">
        <v>1000</v>
      </c>
      <c r="W22" s="157">
        <v>14040</v>
      </c>
      <c r="X22" s="162">
        <v>224945.18</v>
      </c>
      <c r="Y22" s="157">
        <v>14046</v>
      </c>
      <c r="Z22" s="162">
        <v>5623.62</v>
      </c>
      <c r="AA22" s="162">
        <v>219321.56</v>
      </c>
      <c r="AB22" s="162">
        <v>5623.62</v>
      </c>
      <c r="AC22" s="157">
        <v>51260</v>
      </c>
      <c r="AD22" s="162">
        <v>1874.54</v>
      </c>
      <c r="AE22" s="157" t="s">
        <v>433</v>
      </c>
      <c r="AF22" s="159"/>
      <c r="AG22" s="159"/>
      <c r="AH22" s="159" t="s">
        <v>2</v>
      </c>
      <c r="AI22" s="159" t="s">
        <v>1785</v>
      </c>
      <c r="AJ22" s="159" t="s">
        <v>1787</v>
      </c>
      <c r="AK22" s="159">
        <v>0</v>
      </c>
      <c r="AL22" s="159" t="s">
        <v>13</v>
      </c>
      <c r="AM22" s="159" t="s">
        <v>1983</v>
      </c>
      <c r="AN22" s="275">
        <f t="shared" si="1"/>
        <v>1</v>
      </c>
      <c r="AO22" s="275">
        <f t="shared" si="2"/>
        <v>2024</v>
      </c>
      <c r="AP22" s="276">
        <f t="shared" si="3"/>
        <v>2034</v>
      </c>
      <c r="AQ22" s="277">
        <f t="shared" si="4"/>
        <v>2034.0833333333333</v>
      </c>
      <c r="AR22" s="278">
        <f t="shared" si="5"/>
        <v>1874.5431666666666</v>
      </c>
      <c r="AS22" s="279">
        <f t="shared" si="6"/>
        <v>22494.518</v>
      </c>
      <c r="AT22" s="279">
        <f t="shared" si="7"/>
        <v>22494.518</v>
      </c>
      <c r="AU22" s="279">
        <f t="shared" si="8"/>
        <v>0</v>
      </c>
      <c r="AV22" s="279">
        <f t="shared" si="9"/>
        <v>22494.518</v>
      </c>
      <c r="AW22" s="280">
        <f t="shared" si="10"/>
        <v>202450.66199999998</v>
      </c>
      <c r="AX22" s="281" t="s">
        <v>77</v>
      </c>
    </row>
    <row r="23" spans="2:50">
      <c r="B23" s="157">
        <v>2149</v>
      </c>
      <c r="C23" s="158">
        <v>404157</v>
      </c>
      <c r="D23" s="157" t="s">
        <v>433</v>
      </c>
      <c r="E23" s="159" t="s">
        <v>1626</v>
      </c>
      <c r="F23" s="160" t="s">
        <v>1673</v>
      </c>
      <c r="G23" s="160"/>
      <c r="H23" s="160"/>
      <c r="I23" s="157">
        <v>1</v>
      </c>
      <c r="J23" s="159" t="s">
        <v>1832</v>
      </c>
      <c r="K23" s="157">
        <v>2024</v>
      </c>
      <c r="L23" s="159" t="s">
        <v>1212</v>
      </c>
      <c r="M23" s="159" t="s">
        <v>1212</v>
      </c>
      <c r="N23" s="159" t="s">
        <v>1788</v>
      </c>
      <c r="O23" s="159" t="s">
        <v>1833</v>
      </c>
      <c r="P23" s="159" t="s">
        <v>1009</v>
      </c>
      <c r="Q23" s="159"/>
      <c r="R23" s="159"/>
      <c r="S23" s="161">
        <v>45337</v>
      </c>
      <c r="T23" s="161">
        <v>45337</v>
      </c>
      <c r="U23" s="159" t="s">
        <v>1834</v>
      </c>
      <c r="V23" s="157">
        <v>1000</v>
      </c>
      <c r="W23" s="157">
        <v>14040</v>
      </c>
      <c r="X23" s="162">
        <v>229615.72</v>
      </c>
      <c r="Y23" s="157">
        <v>14046</v>
      </c>
      <c r="Z23" s="162">
        <v>5740.38</v>
      </c>
      <c r="AA23" s="162">
        <v>223875.34</v>
      </c>
      <c r="AB23" s="162">
        <v>5740.38</v>
      </c>
      <c r="AC23" s="157">
        <v>51260</v>
      </c>
      <c r="AD23" s="162">
        <v>1913.46</v>
      </c>
      <c r="AE23" s="157" t="s">
        <v>433</v>
      </c>
      <c r="AF23" s="159"/>
      <c r="AG23" s="159"/>
      <c r="AH23" s="159" t="s">
        <v>2</v>
      </c>
      <c r="AI23" s="159" t="s">
        <v>1785</v>
      </c>
      <c r="AJ23" s="159" t="s">
        <v>1787</v>
      </c>
      <c r="AK23" s="159">
        <v>0</v>
      </c>
      <c r="AL23" s="159" t="s">
        <v>13</v>
      </c>
      <c r="AM23" s="159" t="s">
        <v>1983</v>
      </c>
      <c r="AN23" s="275">
        <f t="shared" si="1"/>
        <v>2</v>
      </c>
      <c r="AO23" s="275">
        <f t="shared" si="2"/>
        <v>2024</v>
      </c>
      <c r="AP23" s="276">
        <f t="shared" si="3"/>
        <v>2034</v>
      </c>
      <c r="AQ23" s="277">
        <f t="shared" si="4"/>
        <v>2034.1666666666667</v>
      </c>
      <c r="AR23" s="278">
        <f t="shared" si="5"/>
        <v>1913.4643333333333</v>
      </c>
      <c r="AS23" s="279">
        <f t="shared" si="6"/>
        <v>22961.572</v>
      </c>
      <c r="AT23" s="279">
        <f t="shared" si="7"/>
        <v>22961.572</v>
      </c>
      <c r="AU23" s="279">
        <f t="shared" si="8"/>
        <v>0</v>
      </c>
      <c r="AV23" s="279">
        <f t="shared" si="9"/>
        <v>22961.572</v>
      </c>
      <c r="AW23" s="280">
        <f t="shared" si="10"/>
        <v>206654.14799999999</v>
      </c>
      <c r="AX23" s="281" t="s">
        <v>77</v>
      </c>
    </row>
    <row r="24" spans="2:50">
      <c r="B24" s="157">
        <v>2149</v>
      </c>
      <c r="C24" s="158">
        <v>402961</v>
      </c>
      <c r="D24" s="157">
        <v>319219</v>
      </c>
      <c r="E24" s="159" t="s">
        <v>1626</v>
      </c>
      <c r="F24" s="160" t="s">
        <v>1831</v>
      </c>
      <c r="G24" s="160"/>
      <c r="H24" s="160"/>
      <c r="I24" s="157">
        <v>1</v>
      </c>
      <c r="J24" s="159"/>
      <c r="K24" s="157">
        <v>2024</v>
      </c>
      <c r="L24" s="159" t="s">
        <v>1664</v>
      </c>
      <c r="M24" s="159"/>
      <c r="N24" s="159" t="s">
        <v>1788</v>
      </c>
      <c r="O24" s="159" t="s">
        <v>1789</v>
      </c>
      <c r="P24" s="159" t="s">
        <v>1009</v>
      </c>
      <c r="Q24" s="159"/>
      <c r="R24" s="159"/>
      <c r="S24" s="161">
        <v>45336</v>
      </c>
      <c r="T24" s="161">
        <v>45336</v>
      </c>
      <c r="U24" s="159" t="s">
        <v>1665</v>
      </c>
      <c r="V24" s="157">
        <v>1000</v>
      </c>
      <c r="W24" s="157">
        <v>14040</v>
      </c>
      <c r="X24" s="162">
        <v>3801.86</v>
      </c>
      <c r="Y24" s="157">
        <v>14046</v>
      </c>
      <c r="Z24" s="162">
        <v>95.04</v>
      </c>
      <c r="AA24" s="162">
        <v>3706.82</v>
      </c>
      <c r="AB24" s="162">
        <v>95.04</v>
      </c>
      <c r="AC24" s="157">
        <v>51260</v>
      </c>
      <c r="AD24" s="162">
        <v>31.68</v>
      </c>
      <c r="AE24" s="157" t="s">
        <v>433</v>
      </c>
      <c r="AF24" s="159"/>
      <c r="AG24" s="159"/>
      <c r="AH24" s="159" t="s">
        <v>2</v>
      </c>
      <c r="AI24" s="159" t="s">
        <v>1785</v>
      </c>
      <c r="AJ24" s="159" t="s">
        <v>1787</v>
      </c>
      <c r="AK24" s="159">
        <v>0</v>
      </c>
      <c r="AL24" s="159" t="s">
        <v>13</v>
      </c>
      <c r="AM24" s="159" t="s">
        <v>13</v>
      </c>
      <c r="AN24" s="275">
        <f t="shared" si="1"/>
        <v>2</v>
      </c>
      <c r="AO24" s="275">
        <f t="shared" si="2"/>
        <v>2024</v>
      </c>
      <c r="AP24" s="276">
        <f t="shared" si="3"/>
        <v>2034</v>
      </c>
      <c r="AQ24" s="277">
        <f t="shared" si="4"/>
        <v>2034.1666666666667</v>
      </c>
      <c r="AR24" s="278">
        <f t="shared" si="5"/>
        <v>31.682166666666671</v>
      </c>
      <c r="AS24" s="279">
        <f t="shared" si="6"/>
        <v>380.18600000000004</v>
      </c>
      <c r="AT24" s="279">
        <f t="shared" si="7"/>
        <v>380.18600000000004</v>
      </c>
      <c r="AU24" s="279">
        <f t="shared" si="8"/>
        <v>0</v>
      </c>
      <c r="AV24" s="279">
        <f t="shared" si="9"/>
        <v>380.18600000000004</v>
      </c>
      <c r="AW24" s="280">
        <f t="shared" si="10"/>
        <v>3421.674</v>
      </c>
      <c r="AX24" s="281" t="s">
        <v>77</v>
      </c>
    </row>
    <row r="25" spans="2:50">
      <c r="B25" s="157">
        <v>2149</v>
      </c>
      <c r="C25" s="158">
        <v>402951</v>
      </c>
      <c r="D25" s="157">
        <v>319220</v>
      </c>
      <c r="E25" s="159" t="s">
        <v>1626</v>
      </c>
      <c r="F25" s="160" t="s">
        <v>1831</v>
      </c>
      <c r="G25" s="160"/>
      <c r="H25" s="160"/>
      <c r="I25" s="157">
        <v>1</v>
      </c>
      <c r="J25" s="159"/>
      <c r="K25" s="157">
        <v>2024</v>
      </c>
      <c r="L25" s="159" t="s">
        <v>1664</v>
      </c>
      <c r="M25" s="159"/>
      <c r="N25" s="159" t="s">
        <v>1788</v>
      </c>
      <c r="O25" s="159" t="s">
        <v>1789</v>
      </c>
      <c r="P25" s="159" t="s">
        <v>1009</v>
      </c>
      <c r="Q25" s="159"/>
      <c r="R25" s="159"/>
      <c r="S25" s="161">
        <v>45336</v>
      </c>
      <c r="T25" s="161">
        <v>45336</v>
      </c>
      <c r="U25" s="159" t="s">
        <v>1676</v>
      </c>
      <c r="V25" s="157">
        <v>1000</v>
      </c>
      <c r="W25" s="157">
        <v>14040</v>
      </c>
      <c r="X25" s="162">
        <v>3801.86</v>
      </c>
      <c r="Y25" s="157">
        <v>14046</v>
      </c>
      <c r="Z25" s="162">
        <v>95.04</v>
      </c>
      <c r="AA25" s="162">
        <v>3706.82</v>
      </c>
      <c r="AB25" s="162">
        <v>95.04</v>
      </c>
      <c r="AC25" s="157">
        <v>51260</v>
      </c>
      <c r="AD25" s="162">
        <v>31.68</v>
      </c>
      <c r="AE25" s="157" t="s">
        <v>433</v>
      </c>
      <c r="AF25" s="159"/>
      <c r="AG25" s="159"/>
      <c r="AH25" s="159" t="s">
        <v>2</v>
      </c>
      <c r="AI25" s="159" t="s">
        <v>1785</v>
      </c>
      <c r="AJ25" s="159" t="s">
        <v>1787</v>
      </c>
      <c r="AK25" s="159">
        <v>0</v>
      </c>
      <c r="AL25" s="159" t="s">
        <v>1566</v>
      </c>
      <c r="AM25" s="159" t="s">
        <v>13</v>
      </c>
      <c r="AN25" s="275">
        <f t="shared" si="1"/>
        <v>2</v>
      </c>
      <c r="AO25" s="275">
        <f t="shared" si="2"/>
        <v>2024</v>
      </c>
      <c r="AP25" s="276">
        <f t="shared" si="3"/>
        <v>2034</v>
      </c>
      <c r="AQ25" s="277">
        <f t="shared" si="4"/>
        <v>2034.1666666666667</v>
      </c>
      <c r="AR25" s="278">
        <f t="shared" si="5"/>
        <v>31.682166666666671</v>
      </c>
      <c r="AS25" s="279">
        <f t="shared" si="6"/>
        <v>380.18600000000004</v>
      </c>
      <c r="AT25" s="279">
        <f t="shared" si="7"/>
        <v>380.18600000000004</v>
      </c>
      <c r="AU25" s="279">
        <f t="shared" si="8"/>
        <v>0</v>
      </c>
      <c r="AV25" s="279">
        <f t="shared" si="9"/>
        <v>380.18600000000004</v>
      </c>
      <c r="AW25" s="280">
        <f t="shared" si="10"/>
        <v>3421.674</v>
      </c>
      <c r="AX25" s="281" t="s">
        <v>77</v>
      </c>
    </row>
    <row r="26" spans="2:50">
      <c r="B26" s="157">
        <v>2149</v>
      </c>
      <c r="C26" s="158">
        <v>400413</v>
      </c>
      <c r="D26" s="157">
        <v>319219</v>
      </c>
      <c r="E26" s="159" t="s">
        <v>1626</v>
      </c>
      <c r="F26" s="160" t="s">
        <v>1830</v>
      </c>
      <c r="G26" s="160"/>
      <c r="H26" s="160"/>
      <c r="I26" s="157">
        <v>1</v>
      </c>
      <c r="J26" s="159"/>
      <c r="K26" s="157">
        <v>0</v>
      </c>
      <c r="L26" s="159" t="s">
        <v>1664</v>
      </c>
      <c r="M26" s="159"/>
      <c r="N26" s="159" t="s">
        <v>1788</v>
      </c>
      <c r="O26" s="159" t="s">
        <v>1789</v>
      </c>
      <c r="P26" s="159"/>
      <c r="Q26" s="159"/>
      <c r="R26" s="159"/>
      <c r="S26" s="161">
        <v>45293</v>
      </c>
      <c r="T26" s="161">
        <v>45260</v>
      </c>
      <c r="U26" s="159" t="s">
        <v>1665</v>
      </c>
      <c r="V26" s="157">
        <v>500</v>
      </c>
      <c r="W26" s="157">
        <v>14040</v>
      </c>
      <c r="X26" s="162">
        <v>1784.72</v>
      </c>
      <c r="Y26" s="157">
        <v>14046</v>
      </c>
      <c r="Z26" s="162">
        <v>119</v>
      </c>
      <c r="AA26" s="162">
        <v>1665.72</v>
      </c>
      <c r="AB26" s="162">
        <v>119</v>
      </c>
      <c r="AC26" s="157">
        <v>51260</v>
      </c>
      <c r="AD26" s="162">
        <v>29.75</v>
      </c>
      <c r="AE26" s="157" t="s">
        <v>433</v>
      </c>
      <c r="AF26" s="159"/>
      <c r="AG26" s="159"/>
      <c r="AH26" s="159" t="s">
        <v>2</v>
      </c>
      <c r="AI26" s="159" t="s">
        <v>1785</v>
      </c>
      <c r="AJ26" s="159" t="s">
        <v>1787</v>
      </c>
      <c r="AK26" s="159">
        <v>0</v>
      </c>
      <c r="AL26" s="159" t="s">
        <v>13</v>
      </c>
      <c r="AM26" s="159" t="s">
        <v>13</v>
      </c>
      <c r="AN26" s="275">
        <f t="shared" si="1"/>
        <v>1</v>
      </c>
      <c r="AO26" s="275">
        <f t="shared" si="2"/>
        <v>2024</v>
      </c>
      <c r="AP26" s="276">
        <f t="shared" si="3"/>
        <v>2029</v>
      </c>
      <c r="AQ26" s="277">
        <f t="shared" si="4"/>
        <v>2029.0833333333333</v>
      </c>
      <c r="AR26" s="278">
        <f t="shared" si="5"/>
        <v>29.745333333333335</v>
      </c>
      <c r="AS26" s="279">
        <f t="shared" si="6"/>
        <v>356.94400000000002</v>
      </c>
      <c r="AT26" s="279">
        <f t="shared" si="7"/>
        <v>356.94400000000002</v>
      </c>
      <c r="AU26" s="279">
        <f t="shared" si="8"/>
        <v>0</v>
      </c>
      <c r="AV26" s="279">
        <f t="shared" si="9"/>
        <v>356.94400000000002</v>
      </c>
      <c r="AW26" s="280">
        <f t="shared" si="10"/>
        <v>1427.7760000000001</v>
      </c>
      <c r="AX26" s="281" t="s">
        <v>77</v>
      </c>
    </row>
    <row r="27" spans="2:50">
      <c r="B27" s="157">
        <v>2149</v>
      </c>
      <c r="C27" s="158">
        <v>320806</v>
      </c>
      <c r="D27" s="157" t="s">
        <v>433</v>
      </c>
      <c r="E27" s="159" t="s">
        <v>1626</v>
      </c>
      <c r="F27" s="160" t="s">
        <v>1660</v>
      </c>
      <c r="G27" s="160"/>
      <c r="H27" s="160"/>
      <c r="I27" s="157">
        <v>1</v>
      </c>
      <c r="J27" s="159"/>
      <c r="K27" s="157">
        <v>0</v>
      </c>
      <c r="L27" s="159" t="s">
        <v>1661</v>
      </c>
      <c r="M27" s="159"/>
      <c r="N27" s="159" t="s">
        <v>1801</v>
      </c>
      <c r="O27" s="159" t="s">
        <v>1789</v>
      </c>
      <c r="P27" s="159"/>
      <c r="Q27" s="159"/>
      <c r="R27" s="159"/>
      <c r="S27" s="161">
        <v>45260</v>
      </c>
      <c r="T27" s="161">
        <v>45260</v>
      </c>
      <c r="U27" s="159" t="s">
        <v>1662</v>
      </c>
      <c r="V27" s="157">
        <v>500</v>
      </c>
      <c r="W27" s="157">
        <v>14070</v>
      </c>
      <c r="X27" s="162">
        <v>12894.07</v>
      </c>
      <c r="Y27" s="157">
        <v>14076</v>
      </c>
      <c r="Z27" s="162">
        <v>1074.5</v>
      </c>
      <c r="AA27" s="162">
        <v>11819.57</v>
      </c>
      <c r="AB27" s="162">
        <v>859.6</v>
      </c>
      <c r="AC27" s="157">
        <v>51260</v>
      </c>
      <c r="AD27" s="162">
        <v>214.9</v>
      </c>
      <c r="AE27" s="157" t="s">
        <v>433</v>
      </c>
      <c r="AF27" s="159"/>
      <c r="AG27" s="159"/>
      <c r="AH27" s="159" t="s">
        <v>2</v>
      </c>
      <c r="AI27" s="159" t="s">
        <v>1785</v>
      </c>
      <c r="AJ27" s="159" t="s">
        <v>1787</v>
      </c>
      <c r="AK27" s="159">
        <v>0</v>
      </c>
      <c r="AL27" s="159" t="s">
        <v>22</v>
      </c>
      <c r="AM27" s="159" t="s">
        <v>22</v>
      </c>
      <c r="AN27" s="275">
        <f t="shared" si="1"/>
        <v>11</v>
      </c>
      <c r="AO27" s="275">
        <f t="shared" si="2"/>
        <v>2023</v>
      </c>
      <c r="AP27" s="276">
        <f t="shared" si="3"/>
        <v>2028</v>
      </c>
      <c r="AQ27" s="277">
        <f t="shared" si="4"/>
        <v>2028.9166666666667</v>
      </c>
      <c r="AR27" s="278">
        <f t="shared" si="5"/>
        <v>214.90116666666665</v>
      </c>
      <c r="AS27" s="279">
        <f t="shared" si="6"/>
        <v>2578.8139999999999</v>
      </c>
      <c r="AT27" s="279">
        <f t="shared" si="7"/>
        <v>2578.8139999999999</v>
      </c>
      <c r="AU27" s="279">
        <f t="shared" si="8"/>
        <v>0</v>
      </c>
      <c r="AV27" s="279">
        <f t="shared" si="9"/>
        <v>2578.8139999999999</v>
      </c>
      <c r="AW27" s="280">
        <f t="shared" si="10"/>
        <v>10315.255999999999</v>
      </c>
      <c r="AX27" s="281" t="s">
        <v>77</v>
      </c>
    </row>
    <row r="28" spans="2:50">
      <c r="B28" s="157">
        <v>2149</v>
      </c>
      <c r="C28" s="158">
        <v>320785</v>
      </c>
      <c r="D28" s="157">
        <v>319219</v>
      </c>
      <c r="E28" s="159" t="s">
        <v>1626</v>
      </c>
      <c r="F28" s="160" t="s">
        <v>1663</v>
      </c>
      <c r="G28" s="160"/>
      <c r="H28" s="160"/>
      <c r="I28" s="157">
        <v>1</v>
      </c>
      <c r="J28" s="159"/>
      <c r="K28" s="157">
        <v>2024</v>
      </c>
      <c r="L28" s="159" t="s">
        <v>1664</v>
      </c>
      <c r="M28" s="159" t="s">
        <v>1664</v>
      </c>
      <c r="N28" s="159" t="s">
        <v>1788</v>
      </c>
      <c r="O28" s="159" t="s">
        <v>1789</v>
      </c>
      <c r="P28" s="159" t="s">
        <v>683</v>
      </c>
      <c r="Q28" s="159"/>
      <c r="R28" s="159"/>
      <c r="S28" s="161">
        <v>45247</v>
      </c>
      <c r="T28" s="161">
        <v>45247</v>
      </c>
      <c r="U28" s="159" t="s">
        <v>1665</v>
      </c>
      <c r="V28" s="157">
        <v>1000</v>
      </c>
      <c r="W28" s="157">
        <v>14040</v>
      </c>
      <c r="X28" s="162">
        <v>347.2</v>
      </c>
      <c r="Y28" s="157">
        <v>14046</v>
      </c>
      <c r="Z28" s="162">
        <v>14.45</v>
      </c>
      <c r="AA28" s="162">
        <v>332.75</v>
      </c>
      <c r="AB28" s="162">
        <v>11.56</v>
      </c>
      <c r="AC28" s="157">
        <v>51260</v>
      </c>
      <c r="AD28" s="162">
        <v>2.89</v>
      </c>
      <c r="AE28" s="157" t="s">
        <v>433</v>
      </c>
      <c r="AF28" s="159"/>
      <c r="AG28" s="159"/>
      <c r="AH28" s="159" t="s">
        <v>2</v>
      </c>
      <c r="AI28" s="159" t="s">
        <v>1785</v>
      </c>
      <c r="AJ28" s="159" t="s">
        <v>1787</v>
      </c>
      <c r="AK28" s="159">
        <v>0</v>
      </c>
      <c r="AL28" s="159" t="s">
        <v>13</v>
      </c>
      <c r="AM28" s="159" t="s">
        <v>13</v>
      </c>
      <c r="AN28" s="275">
        <f t="shared" si="1"/>
        <v>11</v>
      </c>
      <c r="AO28" s="275">
        <f t="shared" si="2"/>
        <v>2023</v>
      </c>
      <c r="AP28" s="276">
        <f t="shared" si="3"/>
        <v>2033</v>
      </c>
      <c r="AQ28" s="277">
        <f t="shared" si="4"/>
        <v>2033.9166666666667</v>
      </c>
      <c r="AR28" s="278">
        <f t="shared" si="5"/>
        <v>2.8933333333333331</v>
      </c>
      <c r="AS28" s="279">
        <f t="shared" si="6"/>
        <v>34.72</v>
      </c>
      <c r="AT28" s="279">
        <f t="shared" si="7"/>
        <v>34.72</v>
      </c>
      <c r="AU28" s="279">
        <f t="shared" si="8"/>
        <v>0</v>
      </c>
      <c r="AV28" s="279">
        <f t="shared" si="9"/>
        <v>34.72</v>
      </c>
      <c r="AW28" s="280">
        <f t="shared" si="10"/>
        <v>312.48</v>
      </c>
      <c r="AX28" s="281" t="s">
        <v>77</v>
      </c>
    </row>
    <row r="29" spans="2:50">
      <c r="B29" s="157">
        <v>2149</v>
      </c>
      <c r="C29" s="158">
        <v>320069</v>
      </c>
      <c r="D29" s="157">
        <v>319565</v>
      </c>
      <c r="E29" s="159" t="s">
        <v>1626</v>
      </c>
      <c r="F29" s="160" t="s">
        <v>1666</v>
      </c>
      <c r="G29" s="160"/>
      <c r="H29" s="160"/>
      <c r="I29" s="157">
        <v>1</v>
      </c>
      <c r="J29" s="159" t="s">
        <v>1667</v>
      </c>
      <c r="K29" s="157">
        <v>2024</v>
      </c>
      <c r="L29" s="159" t="s">
        <v>1668</v>
      </c>
      <c r="M29" s="159"/>
      <c r="N29" s="159" t="s">
        <v>1788</v>
      </c>
      <c r="O29" s="159" t="s">
        <v>1789</v>
      </c>
      <c r="P29" s="159" t="s">
        <v>683</v>
      </c>
      <c r="Q29" s="159"/>
      <c r="R29" s="159"/>
      <c r="S29" s="161">
        <v>45274</v>
      </c>
      <c r="T29" s="161">
        <v>45274</v>
      </c>
      <c r="U29" s="159" t="s">
        <v>1669</v>
      </c>
      <c r="V29" s="157">
        <v>1000</v>
      </c>
      <c r="W29" s="157">
        <v>14040</v>
      </c>
      <c r="X29" s="162">
        <v>213121.53</v>
      </c>
      <c r="Y29" s="157">
        <v>14046</v>
      </c>
      <c r="Z29" s="162">
        <v>8880.0499999999993</v>
      </c>
      <c r="AA29" s="162">
        <v>204241.48</v>
      </c>
      <c r="AB29" s="162">
        <v>7104.04</v>
      </c>
      <c r="AC29" s="157">
        <v>51260</v>
      </c>
      <c r="AD29" s="162">
        <v>1776.01</v>
      </c>
      <c r="AE29" s="157" t="s">
        <v>433</v>
      </c>
      <c r="AF29" s="159"/>
      <c r="AG29" s="159"/>
      <c r="AH29" s="159" t="s">
        <v>2</v>
      </c>
      <c r="AI29" s="159" t="s">
        <v>1785</v>
      </c>
      <c r="AJ29" s="159" t="s">
        <v>1787</v>
      </c>
      <c r="AK29" s="159">
        <v>0</v>
      </c>
      <c r="AL29" s="159" t="s">
        <v>1566</v>
      </c>
      <c r="AM29" s="159" t="s">
        <v>1566</v>
      </c>
      <c r="AN29" s="275">
        <f t="shared" si="1"/>
        <v>12</v>
      </c>
      <c r="AO29" s="275">
        <f t="shared" si="2"/>
        <v>2023</v>
      </c>
      <c r="AP29" s="276">
        <f t="shared" si="3"/>
        <v>2033</v>
      </c>
      <c r="AQ29" s="277">
        <f t="shared" si="4"/>
        <v>2034</v>
      </c>
      <c r="AR29" s="278">
        <f t="shared" si="5"/>
        <v>1776.0127499999999</v>
      </c>
      <c r="AS29" s="279">
        <f t="shared" si="6"/>
        <v>21312.152999999998</v>
      </c>
      <c r="AT29" s="279">
        <f t="shared" si="7"/>
        <v>21312.152999999998</v>
      </c>
      <c r="AU29" s="279">
        <f t="shared" si="8"/>
        <v>0</v>
      </c>
      <c r="AV29" s="279">
        <f t="shared" si="9"/>
        <v>21312.152999999998</v>
      </c>
      <c r="AW29" s="280">
        <f t="shared" si="10"/>
        <v>191809.37700000001</v>
      </c>
      <c r="AX29" s="281" t="s">
        <v>77</v>
      </c>
    </row>
    <row r="30" spans="2:50">
      <c r="B30" s="157">
        <v>2149</v>
      </c>
      <c r="C30" s="158">
        <v>320068</v>
      </c>
      <c r="D30" s="157">
        <v>317370</v>
      </c>
      <c r="E30" s="159" t="s">
        <v>1626</v>
      </c>
      <c r="F30" s="160" t="s">
        <v>1666</v>
      </c>
      <c r="G30" s="160"/>
      <c r="H30" s="160"/>
      <c r="I30" s="157">
        <v>1</v>
      </c>
      <c r="J30" s="159" t="s">
        <v>1670</v>
      </c>
      <c r="K30" s="157">
        <v>2024</v>
      </c>
      <c r="L30" s="159" t="s">
        <v>1668</v>
      </c>
      <c r="M30" s="159"/>
      <c r="N30" s="159" t="s">
        <v>1788</v>
      </c>
      <c r="O30" s="159" t="s">
        <v>1789</v>
      </c>
      <c r="P30" s="159" t="s">
        <v>683</v>
      </c>
      <c r="Q30" s="159"/>
      <c r="R30" s="159"/>
      <c r="S30" s="161">
        <v>45240</v>
      </c>
      <c r="T30" s="161">
        <v>45240</v>
      </c>
      <c r="U30" s="159" t="s">
        <v>1671</v>
      </c>
      <c r="V30" s="157">
        <v>1000</v>
      </c>
      <c r="W30" s="157">
        <v>14040</v>
      </c>
      <c r="X30" s="162">
        <v>213121.53</v>
      </c>
      <c r="Y30" s="157">
        <v>14046</v>
      </c>
      <c r="Z30" s="162">
        <v>10656.07</v>
      </c>
      <c r="AA30" s="162">
        <v>202465.46</v>
      </c>
      <c r="AB30" s="162">
        <v>7104.04</v>
      </c>
      <c r="AC30" s="157">
        <v>51260</v>
      </c>
      <c r="AD30" s="162">
        <v>1776.01</v>
      </c>
      <c r="AE30" s="157" t="s">
        <v>433</v>
      </c>
      <c r="AF30" s="159"/>
      <c r="AG30" s="159"/>
      <c r="AH30" s="159" t="s">
        <v>2</v>
      </c>
      <c r="AI30" s="159" t="s">
        <v>1785</v>
      </c>
      <c r="AJ30" s="159" t="s">
        <v>1787</v>
      </c>
      <c r="AK30" s="159">
        <v>0</v>
      </c>
      <c r="AL30" s="159" t="s">
        <v>1569</v>
      </c>
      <c r="AM30" s="159" t="s">
        <v>1569</v>
      </c>
      <c r="AN30" s="275">
        <f t="shared" si="1"/>
        <v>11</v>
      </c>
      <c r="AO30" s="275">
        <f t="shared" si="2"/>
        <v>2023</v>
      </c>
      <c r="AP30" s="276">
        <f t="shared" si="3"/>
        <v>2033</v>
      </c>
      <c r="AQ30" s="277">
        <f t="shared" si="4"/>
        <v>2033.9166666666667</v>
      </c>
      <c r="AR30" s="278">
        <f t="shared" si="5"/>
        <v>1776.0127499999999</v>
      </c>
      <c r="AS30" s="279">
        <f t="shared" si="6"/>
        <v>21312.152999999998</v>
      </c>
      <c r="AT30" s="279">
        <f t="shared" si="7"/>
        <v>21312.152999999998</v>
      </c>
      <c r="AU30" s="279">
        <f t="shared" si="8"/>
        <v>0</v>
      </c>
      <c r="AV30" s="279">
        <f t="shared" si="9"/>
        <v>21312.152999999998</v>
      </c>
      <c r="AW30" s="280">
        <f t="shared" si="10"/>
        <v>191809.37700000001</v>
      </c>
      <c r="AX30" s="281" t="s">
        <v>77</v>
      </c>
    </row>
    <row r="31" spans="2:50">
      <c r="B31" s="157">
        <v>2149</v>
      </c>
      <c r="C31" s="158">
        <v>319565</v>
      </c>
      <c r="D31" s="157" t="s">
        <v>433</v>
      </c>
      <c r="E31" s="159" t="s">
        <v>1626</v>
      </c>
      <c r="F31" s="160" t="s">
        <v>1672</v>
      </c>
      <c r="G31" s="160"/>
      <c r="H31" s="160"/>
      <c r="I31" s="157">
        <v>1</v>
      </c>
      <c r="J31" s="159" t="s">
        <v>1667</v>
      </c>
      <c r="K31" s="157">
        <v>2024</v>
      </c>
      <c r="L31" s="159"/>
      <c r="M31" s="159"/>
      <c r="N31" s="159" t="s">
        <v>1788</v>
      </c>
      <c r="O31" s="159" t="s">
        <v>1789</v>
      </c>
      <c r="P31" s="159" t="s">
        <v>1814</v>
      </c>
      <c r="Q31" s="159"/>
      <c r="R31" s="159"/>
      <c r="S31" s="161">
        <v>45274</v>
      </c>
      <c r="T31" s="161">
        <v>45274</v>
      </c>
      <c r="U31" s="159" t="s">
        <v>1669</v>
      </c>
      <c r="V31" s="157">
        <v>1000</v>
      </c>
      <c r="W31" s="157">
        <v>14040</v>
      </c>
      <c r="X31" s="162">
        <v>224979.20000000001</v>
      </c>
      <c r="Y31" s="157">
        <v>14046</v>
      </c>
      <c r="Z31" s="162">
        <v>9374.15</v>
      </c>
      <c r="AA31" s="162">
        <v>215605.05000000002</v>
      </c>
      <c r="AB31" s="162">
        <v>7499.32</v>
      </c>
      <c r="AC31" s="157">
        <v>51260</v>
      </c>
      <c r="AD31" s="162">
        <v>1874.83</v>
      </c>
      <c r="AE31" s="157" t="s">
        <v>433</v>
      </c>
      <c r="AF31" s="159"/>
      <c r="AG31" s="159"/>
      <c r="AH31" s="159" t="s">
        <v>2</v>
      </c>
      <c r="AI31" s="159" t="s">
        <v>1785</v>
      </c>
      <c r="AJ31" s="159" t="s">
        <v>1787</v>
      </c>
      <c r="AK31" s="159">
        <v>0</v>
      </c>
      <c r="AL31" s="159" t="s">
        <v>1566</v>
      </c>
      <c r="AM31" s="159" t="s">
        <v>1566</v>
      </c>
      <c r="AN31" s="275">
        <f t="shared" si="1"/>
        <v>12</v>
      </c>
      <c r="AO31" s="275">
        <f t="shared" si="2"/>
        <v>2023</v>
      </c>
      <c r="AP31" s="276">
        <f t="shared" si="3"/>
        <v>2033</v>
      </c>
      <c r="AQ31" s="277">
        <f t="shared" si="4"/>
        <v>2034</v>
      </c>
      <c r="AR31" s="278">
        <f t="shared" si="5"/>
        <v>1874.8266666666668</v>
      </c>
      <c r="AS31" s="279">
        <f t="shared" si="6"/>
        <v>22497.920000000002</v>
      </c>
      <c r="AT31" s="279">
        <f t="shared" si="7"/>
        <v>22497.920000000002</v>
      </c>
      <c r="AU31" s="279">
        <f t="shared" si="8"/>
        <v>0</v>
      </c>
      <c r="AV31" s="279">
        <f t="shared" si="9"/>
        <v>22497.920000000002</v>
      </c>
      <c r="AW31" s="280">
        <f t="shared" si="10"/>
        <v>202481.28</v>
      </c>
      <c r="AX31" s="281" t="s">
        <v>77</v>
      </c>
    </row>
    <row r="32" spans="2:50">
      <c r="B32" s="157">
        <v>2149</v>
      </c>
      <c r="C32" s="158">
        <v>319220</v>
      </c>
      <c r="D32" s="157" t="s">
        <v>433</v>
      </c>
      <c r="E32" s="159" t="s">
        <v>1626</v>
      </c>
      <c r="F32" s="160" t="s">
        <v>1673</v>
      </c>
      <c r="G32" s="160"/>
      <c r="H32" s="160"/>
      <c r="I32" s="157">
        <v>1</v>
      </c>
      <c r="J32" s="159" t="s">
        <v>1674</v>
      </c>
      <c r="K32" s="157">
        <v>2024</v>
      </c>
      <c r="L32" s="159"/>
      <c r="M32" s="159"/>
      <c r="N32" s="159" t="s">
        <v>1788</v>
      </c>
      <c r="O32" s="159" t="s">
        <v>1789</v>
      </c>
      <c r="P32" s="159" t="s">
        <v>1675</v>
      </c>
      <c r="Q32" s="159"/>
      <c r="R32" s="159"/>
      <c r="S32" s="161">
        <v>45247</v>
      </c>
      <c r="T32" s="161">
        <v>45247</v>
      </c>
      <c r="U32" s="159" t="s">
        <v>1676</v>
      </c>
      <c r="V32" s="157">
        <v>1000</v>
      </c>
      <c r="W32" s="157">
        <v>14040</v>
      </c>
      <c r="X32" s="162">
        <v>229615.72</v>
      </c>
      <c r="Y32" s="157">
        <v>14046</v>
      </c>
      <c r="Z32" s="162">
        <v>9567.31</v>
      </c>
      <c r="AA32" s="162">
        <v>220048.41</v>
      </c>
      <c r="AB32" s="162">
        <v>7653.84</v>
      </c>
      <c r="AC32" s="157">
        <v>51260</v>
      </c>
      <c r="AD32" s="162">
        <v>1913.46</v>
      </c>
      <c r="AE32" s="157" t="s">
        <v>433</v>
      </c>
      <c r="AF32" s="159"/>
      <c r="AG32" s="159"/>
      <c r="AH32" s="159" t="s">
        <v>2</v>
      </c>
      <c r="AI32" s="159" t="s">
        <v>1785</v>
      </c>
      <c r="AJ32" s="159" t="s">
        <v>1787</v>
      </c>
      <c r="AK32" s="159">
        <v>0</v>
      </c>
      <c r="AL32" s="159" t="s">
        <v>13</v>
      </c>
      <c r="AM32" s="159" t="s">
        <v>13</v>
      </c>
      <c r="AN32" s="275">
        <f t="shared" si="1"/>
        <v>11</v>
      </c>
      <c r="AO32" s="275">
        <f t="shared" si="2"/>
        <v>2023</v>
      </c>
      <c r="AP32" s="276">
        <f t="shared" si="3"/>
        <v>2033</v>
      </c>
      <c r="AQ32" s="277">
        <f t="shared" si="4"/>
        <v>2033.9166666666667</v>
      </c>
      <c r="AR32" s="278">
        <f t="shared" si="5"/>
        <v>1913.4643333333333</v>
      </c>
      <c r="AS32" s="279">
        <f t="shared" si="6"/>
        <v>22961.572</v>
      </c>
      <c r="AT32" s="279">
        <f t="shared" si="7"/>
        <v>22961.572</v>
      </c>
      <c r="AU32" s="279">
        <f t="shared" si="8"/>
        <v>0</v>
      </c>
      <c r="AV32" s="279">
        <f t="shared" si="9"/>
        <v>22961.572</v>
      </c>
      <c r="AW32" s="280">
        <f t="shared" si="10"/>
        <v>206654.14799999999</v>
      </c>
      <c r="AX32" s="281" t="s">
        <v>77</v>
      </c>
    </row>
    <row r="33" spans="2:50">
      <c r="B33" s="157">
        <v>2149</v>
      </c>
      <c r="C33" s="158">
        <v>319219</v>
      </c>
      <c r="D33" s="157" t="s">
        <v>433</v>
      </c>
      <c r="E33" s="159" t="s">
        <v>1626</v>
      </c>
      <c r="F33" s="160" t="s">
        <v>1673</v>
      </c>
      <c r="G33" s="160"/>
      <c r="H33" s="160"/>
      <c r="I33" s="157">
        <v>1</v>
      </c>
      <c r="J33" s="159" t="s">
        <v>1677</v>
      </c>
      <c r="K33" s="157">
        <v>2024</v>
      </c>
      <c r="L33" s="159"/>
      <c r="M33" s="159"/>
      <c r="N33" s="159" t="s">
        <v>1788</v>
      </c>
      <c r="O33" s="159" t="s">
        <v>1789</v>
      </c>
      <c r="P33" s="159" t="s">
        <v>1675</v>
      </c>
      <c r="Q33" s="159"/>
      <c r="R33" s="159"/>
      <c r="S33" s="161">
        <v>45247</v>
      </c>
      <c r="T33" s="161">
        <v>45247</v>
      </c>
      <c r="U33" s="159" t="s">
        <v>1665</v>
      </c>
      <c r="V33" s="157">
        <v>1000</v>
      </c>
      <c r="W33" s="157">
        <v>14040</v>
      </c>
      <c r="X33" s="162">
        <v>229615.72</v>
      </c>
      <c r="Y33" s="157">
        <v>14046</v>
      </c>
      <c r="Z33" s="162">
        <v>9567.31</v>
      </c>
      <c r="AA33" s="162">
        <v>220048.41</v>
      </c>
      <c r="AB33" s="162">
        <v>7653.84</v>
      </c>
      <c r="AC33" s="157">
        <v>51260</v>
      </c>
      <c r="AD33" s="162">
        <v>1913.46</v>
      </c>
      <c r="AE33" s="157" t="s">
        <v>433</v>
      </c>
      <c r="AF33" s="159"/>
      <c r="AG33" s="159"/>
      <c r="AH33" s="159" t="s">
        <v>2</v>
      </c>
      <c r="AI33" s="159" t="s">
        <v>1785</v>
      </c>
      <c r="AJ33" s="159" t="s">
        <v>1787</v>
      </c>
      <c r="AK33" s="159">
        <v>0</v>
      </c>
      <c r="AL33" s="159" t="s">
        <v>13</v>
      </c>
      <c r="AM33" s="159" t="s">
        <v>13</v>
      </c>
      <c r="AN33" s="275">
        <f t="shared" si="1"/>
        <v>11</v>
      </c>
      <c r="AO33" s="275">
        <f t="shared" si="2"/>
        <v>2023</v>
      </c>
      <c r="AP33" s="276">
        <f t="shared" si="3"/>
        <v>2033</v>
      </c>
      <c r="AQ33" s="277">
        <f t="shared" si="4"/>
        <v>2033.9166666666667</v>
      </c>
      <c r="AR33" s="278">
        <f t="shared" si="5"/>
        <v>1913.4643333333333</v>
      </c>
      <c r="AS33" s="279">
        <f t="shared" si="6"/>
        <v>22961.572</v>
      </c>
      <c r="AT33" s="279">
        <f t="shared" si="7"/>
        <v>22961.572</v>
      </c>
      <c r="AU33" s="279">
        <f t="shared" si="8"/>
        <v>0</v>
      </c>
      <c r="AV33" s="279">
        <f t="shared" si="9"/>
        <v>22961.572</v>
      </c>
      <c r="AW33" s="280">
        <f t="shared" si="10"/>
        <v>206654.14799999999</v>
      </c>
      <c r="AX33" s="281" t="s">
        <v>77</v>
      </c>
    </row>
    <row r="34" spans="2:50">
      <c r="B34" s="157">
        <v>2149</v>
      </c>
      <c r="C34" s="158">
        <v>317759</v>
      </c>
      <c r="D34" s="157" t="s">
        <v>433</v>
      </c>
      <c r="E34" s="159" t="s">
        <v>1626</v>
      </c>
      <c r="F34" s="160" t="s">
        <v>1678</v>
      </c>
      <c r="G34" s="160"/>
      <c r="H34" s="160"/>
      <c r="I34" s="157">
        <v>3</v>
      </c>
      <c r="J34" s="159"/>
      <c r="K34" s="157">
        <v>0</v>
      </c>
      <c r="L34" s="159" t="s">
        <v>1679</v>
      </c>
      <c r="M34" s="159"/>
      <c r="N34" s="159" t="s">
        <v>646</v>
      </c>
      <c r="O34" s="159" t="s">
        <v>1789</v>
      </c>
      <c r="P34" s="159"/>
      <c r="Q34" s="159" t="s">
        <v>1796</v>
      </c>
      <c r="R34" s="159" t="s">
        <v>1794</v>
      </c>
      <c r="S34" s="161">
        <v>45229</v>
      </c>
      <c r="T34" s="161">
        <v>45229</v>
      </c>
      <c r="U34" s="159" t="s">
        <v>1680</v>
      </c>
      <c r="V34" s="157">
        <v>1200</v>
      </c>
      <c r="W34" s="157">
        <v>14050</v>
      </c>
      <c r="X34" s="162">
        <v>19950</v>
      </c>
      <c r="Y34" s="157">
        <v>14056</v>
      </c>
      <c r="Z34" s="162">
        <v>831.24</v>
      </c>
      <c r="AA34" s="162">
        <v>19118.759999999998</v>
      </c>
      <c r="AB34" s="162">
        <v>554.16</v>
      </c>
      <c r="AC34" s="157">
        <v>54260</v>
      </c>
      <c r="AD34" s="162">
        <v>138.54</v>
      </c>
      <c r="AE34" s="157" t="s">
        <v>433</v>
      </c>
      <c r="AF34" s="159"/>
      <c r="AG34" s="159"/>
      <c r="AH34" s="159" t="s">
        <v>2</v>
      </c>
      <c r="AI34" s="159" t="s">
        <v>1785</v>
      </c>
      <c r="AJ34" s="159" t="s">
        <v>1787</v>
      </c>
      <c r="AK34" s="159">
        <v>0</v>
      </c>
      <c r="AL34" s="159" t="s">
        <v>17</v>
      </c>
      <c r="AM34" s="159" t="s">
        <v>17</v>
      </c>
      <c r="AN34" s="275">
        <f t="shared" si="1"/>
        <v>10</v>
      </c>
      <c r="AO34" s="275">
        <f t="shared" si="2"/>
        <v>2023</v>
      </c>
      <c r="AP34" s="276">
        <f t="shared" si="3"/>
        <v>2035</v>
      </c>
      <c r="AQ34" s="277">
        <f t="shared" si="4"/>
        <v>2035.8333333333333</v>
      </c>
      <c r="AR34" s="278">
        <f t="shared" si="5"/>
        <v>138.54166666666666</v>
      </c>
      <c r="AS34" s="279">
        <f t="shared" si="6"/>
        <v>1662.5</v>
      </c>
      <c r="AT34" s="279">
        <f t="shared" si="7"/>
        <v>1662.5</v>
      </c>
      <c r="AU34" s="279">
        <f t="shared" si="8"/>
        <v>0</v>
      </c>
      <c r="AV34" s="279">
        <f t="shared" si="9"/>
        <v>1662.5</v>
      </c>
      <c r="AW34" s="280">
        <f t="shared" si="10"/>
        <v>18287.5</v>
      </c>
      <c r="AX34" s="281" t="s">
        <v>77</v>
      </c>
    </row>
    <row r="35" spans="2:50">
      <c r="B35" s="157">
        <v>2149</v>
      </c>
      <c r="C35" s="158">
        <v>317568</v>
      </c>
      <c r="D35" s="157" t="s">
        <v>433</v>
      </c>
      <c r="E35" s="159" t="s">
        <v>1626</v>
      </c>
      <c r="F35" s="160" t="s">
        <v>677</v>
      </c>
      <c r="G35" s="160"/>
      <c r="H35" s="160"/>
      <c r="I35" s="157">
        <v>3</v>
      </c>
      <c r="J35" s="159"/>
      <c r="K35" s="157">
        <v>0</v>
      </c>
      <c r="L35" s="159" t="s">
        <v>1679</v>
      </c>
      <c r="M35" s="159"/>
      <c r="N35" s="159" t="s">
        <v>646</v>
      </c>
      <c r="O35" s="159" t="s">
        <v>1789</v>
      </c>
      <c r="P35" s="159"/>
      <c r="Q35" s="159" t="s">
        <v>1796</v>
      </c>
      <c r="R35" s="159" t="s">
        <v>1794</v>
      </c>
      <c r="S35" s="161">
        <v>45229</v>
      </c>
      <c r="T35" s="161">
        <v>45229</v>
      </c>
      <c r="U35" s="159" t="s">
        <v>1680</v>
      </c>
      <c r="V35" s="157">
        <v>1200</v>
      </c>
      <c r="W35" s="157">
        <v>14050</v>
      </c>
      <c r="X35" s="162">
        <v>19950</v>
      </c>
      <c r="Y35" s="157">
        <v>14056</v>
      </c>
      <c r="Z35" s="162">
        <v>831.24</v>
      </c>
      <c r="AA35" s="162">
        <v>19118.759999999998</v>
      </c>
      <c r="AB35" s="162">
        <v>554.16</v>
      </c>
      <c r="AC35" s="157">
        <v>54260</v>
      </c>
      <c r="AD35" s="162">
        <v>138.54</v>
      </c>
      <c r="AE35" s="157" t="s">
        <v>433</v>
      </c>
      <c r="AF35" s="159"/>
      <c r="AG35" s="159"/>
      <c r="AH35" s="159" t="s">
        <v>2</v>
      </c>
      <c r="AI35" s="159" t="s">
        <v>1785</v>
      </c>
      <c r="AJ35" s="159" t="s">
        <v>1787</v>
      </c>
      <c r="AK35" s="159">
        <v>0</v>
      </c>
      <c r="AL35" s="159" t="s">
        <v>17</v>
      </c>
      <c r="AM35" s="159" t="s">
        <v>17</v>
      </c>
      <c r="AN35" s="275">
        <f t="shared" si="1"/>
        <v>10</v>
      </c>
      <c r="AO35" s="275">
        <f t="shared" si="2"/>
        <v>2023</v>
      </c>
      <c r="AP35" s="276">
        <f t="shared" si="3"/>
        <v>2035</v>
      </c>
      <c r="AQ35" s="277">
        <f t="shared" si="4"/>
        <v>2035.8333333333333</v>
      </c>
      <c r="AR35" s="278">
        <f t="shared" si="5"/>
        <v>138.54166666666666</v>
      </c>
      <c r="AS35" s="279">
        <f t="shared" si="6"/>
        <v>1662.5</v>
      </c>
      <c r="AT35" s="279">
        <f t="shared" si="7"/>
        <v>1662.5</v>
      </c>
      <c r="AU35" s="279">
        <f t="shared" si="8"/>
        <v>0</v>
      </c>
      <c r="AV35" s="279">
        <f t="shared" si="9"/>
        <v>1662.5</v>
      </c>
      <c r="AW35" s="280">
        <f t="shared" si="10"/>
        <v>18287.5</v>
      </c>
      <c r="AX35" s="281" t="s">
        <v>77</v>
      </c>
    </row>
    <row r="36" spans="2:50">
      <c r="B36" s="157">
        <v>2149</v>
      </c>
      <c r="C36" s="158">
        <v>317566</v>
      </c>
      <c r="D36" s="157" t="s">
        <v>433</v>
      </c>
      <c r="E36" s="159" t="s">
        <v>1626</v>
      </c>
      <c r="F36" s="160" t="s">
        <v>1575</v>
      </c>
      <c r="G36" s="160"/>
      <c r="H36" s="160"/>
      <c r="I36" s="157">
        <v>10</v>
      </c>
      <c r="J36" s="159"/>
      <c r="K36" s="157">
        <v>0</v>
      </c>
      <c r="L36" s="159" t="s">
        <v>1679</v>
      </c>
      <c r="M36" s="159"/>
      <c r="N36" s="159" t="s">
        <v>646</v>
      </c>
      <c r="O36" s="159" t="s">
        <v>1789</v>
      </c>
      <c r="P36" s="159"/>
      <c r="Q36" s="159" t="s">
        <v>1829</v>
      </c>
      <c r="R36" s="159" t="s">
        <v>1791</v>
      </c>
      <c r="S36" s="161">
        <v>45229</v>
      </c>
      <c r="T36" s="161">
        <v>45229</v>
      </c>
      <c r="U36" s="159" t="s">
        <v>1681</v>
      </c>
      <c r="V36" s="157">
        <v>1200</v>
      </c>
      <c r="W36" s="157">
        <v>14050</v>
      </c>
      <c r="X36" s="162">
        <v>8100</v>
      </c>
      <c r="Y36" s="157">
        <v>14056</v>
      </c>
      <c r="Z36" s="162">
        <v>337.5</v>
      </c>
      <c r="AA36" s="162">
        <v>7762.5</v>
      </c>
      <c r="AB36" s="162">
        <v>225</v>
      </c>
      <c r="AC36" s="157">
        <v>54260</v>
      </c>
      <c r="AD36" s="162">
        <v>56.25</v>
      </c>
      <c r="AE36" s="157" t="s">
        <v>433</v>
      </c>
      <c r="AF36" s="159"/>
      <c r="AG36" s="159"/>
      <c r="AH36" s="159" t="s">
        <v>2</v>
      </c>
      <c r="AI36" s="159" t="s">
        <v>1785</v>
      </c>
      <c r="AJ36" s="159" t="s">
        <v>1787</v>
      </c>
      <c r="AK36" s="159">
        <v>0</v>
      </c>
      <c r="AL36" s="159" t="s">
        <v>16</v>
      </c>
      <c r="AM36" s="159" t="s">
        <v>16</v>
      </c>
      <c r="AN36" s="275">
        <f t="shared" si="1"/>
        <v>10</v>
      </c>
      <c r="AO36" s="275">
        <f t="shared" si="2"/>
        <v>2023</v>
      </c>
      <c r="AP36" s="276">
        <f t="shared" si="3"/>
        <v>2035</v>
      </c>
      <c r="AQ36" s="277">
        <f t="shared" si="4"/>
        <v>2035.8333333333333</v>
      </c>
      <c r="AR36" s="278">
        <f t="shared" si="5"/>
        <v>56.25</v>
      </c>
      <c r="AS36" s="279">
        <f t="shared" si="6"/>
        <v>675</v>
      </c>
      <c r="AT36" s="279">
        <f t="shared" si="7"/>
        <v>675</v>
      </c>
      <c r="AU36" s="279">
        <f t="shared" si="8"/>
        <v>0</v>
      </c>
      <c r="AV36" s="279">
        <f t="shared" si="9"/>
        <v>675</v>
      </c>
      <c r="AW36" s="280">
        <f t="shared" si="10"/>
        <v>7425</v>
      </c>
      <c r="AX36" s="281" t="s">
        <v>77</v>
      </c>
    </row>
    <row r="37" spans="2:50">
      <c r="B37" s="157">
        <v>2149</v>
      </c>
      <c r="C37" s="158">
        <v>317370</v>
      </c>
      <c r="D37" s="157" t="s">
        <v>433</v>
      </c>
      <c r="E37" s="159" t="s">
        <v>1626</v>
      </c>
      <c r="F37" s="160" t="s">
        <v>1672</v>
      </c>
      <c r="G37" s="160"/>
      <c r="H37" s="160"/>
      <c r="I37" s="157">
        <v>1</v>
      </c>
      <c r="J37" s="159" t="s">
        <v>1670</v>
      </c>
      <c r="K37" s="157">
        <v>2024</v>
      </c>
      <c r="L37" s="159"/>
      <c r="M37" s="159"/>
      <c r="N37" s="159" t="s">
        <v>1788</v>
      </c>
      <c r="O37" s="159" t="s">
        <v>1789</v>
      </c>
      <c r="P37" s="159" t="s">
        <v>1814</v>
      </c>
      <c r="Q37" s="159"/>
      <c r="R37" s="159"/>
      <c r="S37" s="161">
        <v>45240</v>
      </c>
      <c r="T37" s="161">
        <v>45240</v>
      </c>
      <c r="U37" s="159" t="s">
        <v>1671</v>
      </c>
      <c r="V37" s="157">
        <v>1000</v>
      </c>
      <c r="W37" s="157">
        <v>14040</v>
      </c>
      <c r="X37" s="162">
        <v>224979.20000000001</v>
      </c>
      <c r="Y37" s="157">
        <v>14046</v>
      </c>
      <c r="Z37" s="162">
        <v>11248.97</v>
      </c>
      <c r="AA37" s="162">
        <v>213730.23</v>
      </c>
      <c r="AB37" s="162">
        <v>7499.32</v>
      </c>
      <c r="AC37" s="157">
        <v>51260</v>
      </c>
      <c r="AD37" s="162">
        <v>1874.83</v>
      </c>
      <c r="AE37" s="157" t="s">
        <v>433</v>
      </c>
      <c r="AF37" s="159"/>
      <c r="AG37" s="159"/>
      <c r="AH37" s="159" t="s">
        <v>2</v>
      </c>
      <c r="AI37" s="159" t="s">
        <v>1785</v>
      </c>
      <c r="AJ37" s="159" t="s">
        <v>1787</v>
      </c>
      <c r="AK37" s="159">
        <v>0</v>
      </c>
      <c r="AL37" s="159" t="s">
        <v>1569</v>
      </c>
      <c r="AM37" s="159" t="s">
        <v>1569</v>
      </c>
      <c r="AN37" s="275">
        <f t="shared" si="1"/>
        <v>11</v>
      </c>
      <c r="AO37" s="275">
        <f t="shared" si="2"/>
        <v>2023</v>
      </c>
      <c r="AP37" s="276">
        <f t="shared" si="3"/>
        <v>2033</v>
      </c>
      <c r="AQ37" s="277">
        <f t="shared" si="4"/>
        <v>2033.9166666666667</v>
      </c>
      <c r="AR37" s="278">
        <f t="shared" si="5"/>
        <v>1874.8266666666668</v>
      </c>
      <c r="AS37" s="279">
        <f t="shared" si="6"/>
        <v>22497.920000000002</v>
      </c>
      <c r="AT37" s="279">
        <f t="shared" si="7"/>
        <v>22497.920000000002</v>
      </c>
      <c r="AU37" s="279">
        <f t="shared" si="8"/>
        <v>0</v>
      </c>
      <c r="AV37" s="279">
        <f t="shared" si="9"/>
        <v>22497.920000000002</v>
      </c>
      <c r="AW37" s="280">
        <f t="shared" si="10"/>
        <v>202481.28</v>
      </c>
      <c r="AX37" s="281" t="s">
        <v>77</v>
      </c>
    </row>
    <row r="38" spans="2:50">
      <c r="B38" s="157">
        <v>2149</v>
      </c>
      <c r="C38" s="158">
        <v>317025</v>
      </c>
      <c r="D38" s="157">
        <v>315530</v>
      </c>
      <c r="E38" s="159" t="s">
        <v>1626</v>
      </c>
      <c r="F38" s="160" t="s">
        <v>1530</v>
      </c>
      <c r="G38" s="160"/>
      <c r="H38" s="160"/>
      <c r="I38" s="157">
        <v>1</v>
      </c>
      <c r="J38" s="159" t="s">
        <v>1682</v>
      </c>
      <c r="K38" s="157">
        <v>0</v>
      </c>
      <c r="L38" s="159" t="s">
        <v>1668</v>
      </c>
      <c r="M38" s="159"/>
      <c r="N38" s="159" t="s">
        <v>1788</v>
      </c>
      <c r="O38" s="159" t="s">
        <v>1789</v>
      </c>
      <c r="P38" s="159" t="s">
        <v>1802</v>
      </c>
      <c r="Q38" s="159"/>
      <c r="R38" s="159"/>
      <c r="S38" s="161">
        <v>45211</v>
      </c>
      <c r="T38" s="161">
        <v>45211</v>
      </c>
      <c r="U38" s="159" t="s">
        <v>1683</v>
      </c>
      <c r="V38" s="157">
        <v>1000</v>
      </c>
      <c r="W38" s="157">
        <v>14040</v>
      </c>
      <c r="X38" s="162">
        <v>102792.9</v>
      </c>
      <c r="Y38" s="157">
        <v>14046</v>
      </c>
      <c r="Z38" s="162">
        <v>5996.26</v>
      </c>
      <c r="AA38" s="162">
        <v>96796.64</v>
      </c>
      <c r="AB38" s="162">
        <v>3426.44</v>
      </c>
      <c r="AC38" s="157">
        <v>51260</v>
      </c>
      <c r="AD38" s="162">
        <v>856.61</v>
      </c>
      <c r="AE38" s="157" t="s">
        <v>433</v>
      </c>
      <c r="AF38" s="159"/>
      <c r="AG38" s="159"/>
      <c r="AH38" s="159" t="s">
        <v>2</v>
      </c>
      <c r="AI38" s="159" t="s">
        <v>1785</v>
      </c>
      <c r="AJ38" s="159" t="s">
        <v>1787</v>
      </c>
      <c r="AK38" s="159">
        <v>0</v>
      </c>
      <c r="AL38" s="159" t="s">
        <v>1567</v>
      </c>
      <c r="AM38" s="159" t="s">
        <v>1567</v>
      </c>
      <c r="AN38" s="275">
        <f t="shared" si="1"/>
        <v>10</v>
      </c>
      <c r="AO38" s="275">
        <f t="shared" si="2"/>
        <v>2023</v>
      </c>
      <c r="AP38" s="276">
        <f t="shared" si="3"/>
        <v>2033</v>
      </c>
      <c r="AQ38" s="277">
        <f t="shared" si="4"/>
        <v>2033.8333333333333</v>
      </c>
      <c r="AR38" s="278">
        <f t="shared" si="5"/>
        <v>856.60749999999996</v>
      </c>
      <c r="AS38" s="279">
        <f t="shared" si="6"/>
        <v>10279.289999999999</v>
      </c>
      <c r="AT38" s="279">
        <f t="shared" si="7"/>
        <v>10279.289999999999</v>
      </c>
      <c r="AU38" s="279">
        <f t="shared" si="8"/>
        <v>0</v>
      </c>
      <c r="AV38" s="279">
        <f t="shared" si="9"/>
        <v>10279.289999999999</v>
      </c>
      <c r="AW38" s="280">
        <f t="shared" si="10"/>
        <v>92513.61</v>
      </c>
      <c r="AX38" s="281" t="s">
        <v>77</v>
      </c>
    </row>
    <row r="39" spans="2:50">
      <c r="B39" s="157">
        <v>2149</v>
      </c>
      <c r="C39" s="158">
        <v>316868</v>
      </c>
      <c r="D39" s="157" t="s">
        <v>433</v>
      </c>
      <c r="E39" s="159" t="s">
        <v>1626</v>
      </c>
      <c r="F39" s="160" t="s">
        <v>1684</v>
      </c>
      <c r="G39" s="160"/>
      <c r="H39" s="160"/>
      <c r="I39" s="157">
        <v>1</v>
      </c>
      <c r="J39" s="159" t="s">
        <v>1685</v>
      </c>
      <c r="K39" s="157">
        <v>2008</v>
      </c>
      <c r="L39" s="159" t="s">
        <v>1686</v>
      </c>
      <c r="M39" s="159" t="s">
        <v>722</v>
      </c>
      <c r="N39" s="159" t="s">
        <v>1788</v>
      </c>
      <c r="O39" s="159" t="s">
        <v>1789</v>
      </c>
      <c r="P39" s="159" t="s">
        <v>1817</v>
      </c>
      <c r="Q39" s="159"/>
      <c r="R39" s="159"/>
      <c r="S39" s="161">
        <v>39755</v>
      </c>
      <c r="T39" s="161">
        <v>39755</v>
      </c>
      <c r="U39" s="159"/>
      <c r="V39" s="157">
        <v>600</v>
      </c>
      <c r="W39" s="157">
        <v>14040</v>
      </c>
      <c r="X39" s="162">
        <v>45277.3</v>
      </c>
      <c r="Y39" s="157">
        <v>14046</v>
      </c>
      <c r="Z39" s="162">
        <v>45277.3</v>
      </c>
      <c r="AA39" s="162">
        <v>0</v>
      </c>
      <c r="AB39" s="162">
        <v>0</v>
      </c>
      <c r="AC39" s="157">
        <v>51260</v>
      </c>
      <c r="AD39" s="162">
        <v>0</v>
      </c>
      <c r="AE39" s="157" t="s">
        <v>663</v>
      </c>
      <c r="AF39" s="159" t="s">
        <v>905</v>
      </c>
      <c r="AG39" s="159">
        <v>8911</v>
      </c>
      <c r="AH39" s="159" t="s">
        <v>2</v>
      </c>
      <c r="AI39" s="159" t="s">
        <v>1785</v>
      </c>
      <c r="AJ39" s="159" t="s">
        <v>1787</v>
      </c>
      <c r="AK39" s="159">
        <v>8911</v>
      </c>
      <c r="AL39" s="159" t="s">
        <v>1782</v>
      </c>
      <c r="AM39" s="159" t="s">
        <v>1782</v>
      </c>
      <c r="AN39" s="275">
        <f t="shared" si="1"/>
        <v>11</v>
      </c>
      <c r="AO39" s="275">
        <f t="shared" si="2"/>
        <v>2008</v>
      </c>
      <c r="AP39" s="276">
        <f t="shared" si="3"/>
        <v>2014</v>
      </c>
      <c r="AQ39" s="277">
        <f t="shared" si="4"/>
        <v>2014.9166666666667</v>
      </c>
      <c r="AR39" s="278">
        <f t="shared" si="5"/>
        <v>628.85138888888889</v>
      </c>
      <c r="AS39" s="279">
        <f t="shared" si="6"/>
        <v>7546.2166666666672</v>
      </c>
      <c r="AT39" s="279">
        <f t="shared" si="7"/>
        <v>0</v>
      </c>
      <c r="AU39" s="279">
        <f t="shared" si="8"/>
        <v>45277.3</v>
      </c>
      <c r="AV39" s="279">
        <f t="shared" si="9"/>
        <v>45277.3</v>
      </c>
      <c r="AW39" s="280">
        <f t="shared" si="10"/>
        <v>0</v>
      </c>
      <c r="AX39" s="281" t="s">
        <v>77</v>
      </c>
    </row>
    <row r="40" spans="2:50">
      <c r="B40" s="157">
        <v>2149</v>
      </c>
      <c r="C40" s="158">
        <v>316867</v>
      </c>
      <c r="D40" s="157" t="s">
        <v>433</v>
      </c>
      <c r="E40" s="159" t="s">
        <v>1626</v>
      </c>
      <c r="F40" s="160" t="s">
        <v>1687</v>
      </c>
      <c r="G40" s="160"/>
      <c r="H40" s="160"/>
      <c r="I40" s="157">
        <v>1</v>
      </c>
      <c r="J40" s="159" t="s">
        <v>1688</v>
      </c>
      <c r="K40" s="157">
        <v>2009</v>
      </c>
      <c r="L40" s="159"/>
      <c r="M40" s="159"/>
      <c r="N40" s="159" t="s">
        <v>1788</v>
      </c>
      <c r="O40" s="159" t="s">
        <v>1789</v>
      </c>
      <c r="P40" s="159" t="s">
        <v>1687</v>
      </c>
      <c r="Q40" s="159"/>
      <c r="R40" s="159"/>
      <c r="S40" s="161">
        <v>39814</v>
      </c>
      <c r="T40" s="161">
        <v>39814</v>
      </c>
      <c r="U40" s="159" t="s">
        <v>1689</v>
      </c>
      <c r="V40" s="157">
        <v>610</v>
      </c>
      <c r="W40" s="157">
        <v>14040</v>
      </c>
      <c r="X40" s="162">
        <v>-45272.51</v>
      </c>
      <c r="Y40" s="157">
        <v>14046</v>
      </c>
      <c r="Z40" s="162">
        <v>-45272.51</v>
      </c>
      <c r="AA40" s="162">
        <v>0</v>
      </c>
      <c r="AB40" s="162">
        <v>0</v>
      </c>
      <c r="AC40" s="157">
        <v>51260</v>
      </c>
      <c r="AD40" s="162">
        <v>0</v>
      </c>
      <c r="AE40" s="157" t="s">
        <v>433</v>
      </c>
      <c r="AF40" s="159"/>
      <c r="AG40" s="159">
        <v>8915</v>
      </c>
      <c r="AH40" s="159" t="s">
        <v>2</v>
      </c>
      <c r="AI40" s="159" t="s">
        <v>1785</v>
      </c>
      <c r="AJ40" s="159" t="s">
        <v>1787</v>
      </c>
      <c r="AK40" s="159">
        <v>8915</v>
      </c>
      <c r="AL40" s="159" t="s">
        <v>1782</v>
      </c>
      <c r="AM40" s="159" t="s">
        <v>1782</v>
      </c>
      <c r="AN40" s="275">
        <f t="shared" si="1"/>
        <v>1</v>
      </c>
      <c r="AO40" s="275">
        <f t="shared" si="2"/>
        <v>2009</v>
      </c>
      <c r="AP40" s="276">
        <f t="shared" si="3"/>
        <v>2015.1</v>
      </c>
      <c r="AQ40" s="277">
        <f t="shared" si="4"/>
        <v>2015.1833333333332</v>
      </c>
      <c r="AR40" s="278">
        <f t="shared" si="5"/>
        <v>-618.47691256830615</v>
      </c>
      <c r="AS40" s="279">
        <f t="shared" si="6"/>
        <v>-7421.7229508196742</v>
      </c>
      <c r="AT40" s="279">
        <f t="shared" si="7"/>
        <v>0</v>
      </c>
      <c r="AU40" s="279">
        <f t="shared" si="8"/>
        <v>-45272.51</v>
      </c>
      <c r="AV40" s="279">
        <f t="shared" si="9"/>
        <v>-45272.51</v>
      </c>
      <c r="AW40" s="280">
        <f t="shared" si="10"/>
        <v>0</v>
      </c>
      <c r="AX40" s="281" t="s">
        <v>77</v>
      </c>
    </row>
    <row r="41" spans="2:50">
      <c r="B41" s="157">
        <v>2149</v>
      </c>
      <c r="C41" s="158">
        <v>316866</v>
      </c>
      <c r="D41" s="157" t="s">
        <v>433</v>
      </c>
      <c r="E41" s="159" t="s">
        <v>1626</v>
      </c>
      <c r="F41" s="160" t="s">
        <v>1690</v>
      </c>
      <c r="G41" s="160"/>
      <c r="H41" s="160"/>
      <c r="I41" s="157">
        <v>1</v>
      </c>
      <c r="J41" s="159" t="s">
        <v>1691</v>
      </c>
      <c r="K41" s="157">
        <v>2009</v>
      </c>
      <c r="L41" s="159" t="s">
        <v>1686</v>
      </c>
      <c r="M41" s="159" t="s">
        <v>722</v>
      </c>
      <c r="N41" s="159" t="s">
        <v>1788</v>
      </c>
      <c r="O41" s="159" t="s">
        <v>1789</v>
      </c>
      <c r="P41" s="159" t="s">
        <v>1817</v>
      </c>
      <c r="Q41" s="159"/>
      <c r="R41" s="159"/>
      <c r="S41" s="161">
        <v>39755</v>
      </c>
      <c r="T41" s="161">
        <v>39755</v>
      </c>
      <c r="U41" s="159"/>
      <c r="V41" s="157">
        <v>700</v>
      </c>
      <c r="W41" s="157">
        <v>14040</v>
      </c>
      <c r="X41" s="162">
        <v>45277.3</v>
      </c>
      <c r="Y41" s="157">
        <v>14046</v>
      </c>
      <c r="Z41" s="162">
        <v>45277.3</v>
      </c>
      <c r="AA41" s="162">
        <v>0</v>
      </c>
      <c r="AB41" s="162">
        <v>0</v>
      </c>
      <c r="AC41" s="157">
        <v>51260</v>
      </c>
      <c r="AD41" s="162">
        <v>0</v>
      </c>
      <c r="AE41" s="157" t="s">
        <v>663</v>
      </c>
      <c r="AF41" s="159" t="s">
        <v>905</v>
      </c>
      <c r="AG41" s="159">
        <v>8915</v>
      </c>
      <c r="AH41" s="159" t="s">
        <v>2</v>
      </c>
      <c r="AI41" s="159" t="s">
        <v>1785</v>
      </c>
      <c r="AJ41" s="159" t="s">
        <v>1787</v>
      </c>
      <c r="AK41" s="159">
        <v>8915</v>
      </c>
      <c r="AL41" s="159" t="s">
        <v>1782</v>
      </c>
      <c r="AM41" s="159" t="s">
        <v>1782</v>
      </c>
      <c r="AN41" s="275">
        <f t="shared" si="1"/>
        <v>11</v>
      </c>
      <c r="AO41" s="275">
        <f t="shared" si="2"/>
        <v>2008</v>
      </c>
      <c r="AP41" s="276">
        <f t="shared" si="3"/>
        <v>2015</v>
      </c>
      <c r="AQ41" s="277">
        <f t="shared" si="4"/>
        <v>2015.9166666666667</v>
      </c>
      <c r="AR41" s="278">
        <f t="shared" si="5"/>
        <v>539.01547619047619</v>
      </c>
      <c r="AS41" s="279">
        <f t="shared" si="6"/>
        <v>6468.1857142857143</v>
      </c>
      <c r="AT41" s="279">
        <f t="shared" si="7"/>
        <v>0</v>
      </c>
      <c r="AU41" s="279">
        <f t="shared" si="8"/>
        <v>45277.3</v>
      </c>
      <c r="AV41" s="279">
        <f t="shared" si="9"/>
        <v>45277.3</v>
      </c>
      <c r="AW41" s="280">
        <f t="shared" si="10"/>
        <v>0</v>
      </c>
      <c r="AX41" s="281" t="s">
        <v>77</v>
      </c>
    </row>
    <row r="42" spans="2:50">
      <c r="B42" s="157">
        <v>2149</v>
      </c>
      <c r="C42" s="158">
        <v>316865</v>
      </c>
      <c r="D42" s="157">
        <v>316866</v>
      </c>
      <c r="E42" s="159" t="s">
        <v>1626</v>
      </c>
      <c r="F42" s="160" t="s">
        <v>1692</v>
      </c>
      <c r="G42" s="160"/>
      <c r="H42" s="160"/>
      <c r="I42" s="157">
        <v>1</v>
      </c>
      <c r="J42" s="159">
        <v>347135</v>
      </c>
      <c r="K42" s="157">
        <v>2008</v>
      </c>
      <c r="L42" s="159"/>
      <c r="M42" s="159"/>
      <c r="N42" s="159" t="s">
        <v>1788</v>
      </c>
      <c r="O42" s="159" t="s">
        <v>1789</v>
      </c>
      <c r="P42" s="159" t="s">
        <v>1687</v>
      </c>
      <c r="Q42" s="159"/>
      <c r="R42" s="159"/>
      <c r="S42" s="161">
        <v>39814</v>
      </c>
      <c r="T42" s="161">
        <v>39814</v>
      </c>
      <c r="U42" s="159" t="s">
        <v>1689</v>
      </c>
      <c r="V42" s="157">
        <v>611</v>
      </c>
      <c r="W42" s="157">
        <v>14040</v>
      </c>
      <c r="X42" s="162">
        <v>45272.51</v>
      </c>
      <c r="Y42" s="157">
        <v>14046</v>
      </c>
      <c r="Z42" s="162">
        <v>45272.51</v>
      </c>
      <c r="AA42" s="162">
        <v>0</v>
      </c>
      <c r="AB42" s="162">
        <v>0</v>
      </c>
      <c r="AC42" s="157">
        <v>51260</v>
      </c>
      <c r="AD42" s="162">
        <v>0</v>
      </c>
      <c r="AE42" s="157" t="s">
        <v>433</v>
      </c>
      <c r="AF42" s="159"/>
      <c r="AG42" s="159"/>
      <c r="AH42" s="159" t="s">
        <v>2</v>
      </c>
      <c r="AI42" s="159" t="s">
        <v>1785</v>
      </c>
      <c r="AJ42" s="159" t="s">
        <v>1787</v>
      </c>
      <c r="AK42" s="159">
        <v>0</v>
      </c>
      <c r="AL42" s="159" t="s">
        <v>1782</v>
      </c>
      <c r="AM42" s="159" t="s">
        <v>1782</v>
      </c>
      <c r="AN42" s="275">
        <f t="shared" si="1"/>
        <v>1</v>
      </c>
      <c r="AO42" s="275">
        <f t="shared" si="2"/>
        <v>2009</v>
      </c>
      <c r="AP42" s="276">
        <f t="shared" si="3"/>
        <v>2015.11</v>
      </c>
      <c r="AQ42" s="277">
        <f t="shared" si="4"/>
        <v>2015.1933333333332</v>
      </c>
      <c r="AR42" s="278">
        <f t="shared" si="5"/>
        <v>617.46467539552646</v>
      </c>
      <c r="AS42" s="279">
        <f t="shared" si="6"/>
        <v>7409.5761047463175</v>
      </c>
      <c r="AT42" s="279">
        <f t="shared" si="7"/>
        <v>0</v>
      </c>
      <c r="AU42" s="279">
        <f t="shared" si="8"/>
        <v>45272.51</v>
      </c>
      <c r="AV42" s="279">
        <f t="shared" si="9"/>
        <v>45272.51</v>
      </c>
      <c r="AW42" s="280">
        <f t="shared" si="10"/>
        <v>0</v>
      </c>
      <c r="AX42" s="281" t="s">
        <v>77</v>
      </c>
    </row>
    <row r="43" spans="2:50">
      <c r="B43" s="157">
        <v>2149</v>
      </c>
      <c r="C43" s="158">
        <v>316391</v>
      </c>
      <c r="D43" s="157">
        <v>316380</v>
      </c>
      <c r="E43" s="159" t="s">
        <v>1626</v>
      </c>
      <c r="F43" s="160" t="s">
        <v>1693</v>
      </c>
      <c r="G43" s="160"/>
      <c r="H43" s="160"/>
      <c r="I43" s="157">
        <v>1</v>
      </c>
      <c r="J43" s="159"/>
      <c r="K43" s="157">
        <v>0</v>
      </c>
      <c r="L43" s="159" t="s">
        <v>1694</v>
      </c>
      <c r="M43" s="159"/>
      <c r="N43" s="159" t="s">
        <v>1788</v>
      </c>
      <c r="O43" s="159" t="s">
        <v>1789</v>
      </c>
      <c r="P43" s="159" t="s">
        <v>683</v>
      </c>
      <c r="Q43" s="159"/>
      <c r="R43" s="159"/>
      <c r="S43" s="161">
        <v>42340</v>
      </c>
      <c r="T43" s="161">
        <v>42340</v>
      </c>
      <c r="U43" s="159" t="s">
        <v>1695</v>
      </c>
      <c r="V43" s="157">
        <v>300</v>
      </c>
      <c r="W43" s="157">
        <v>14040</v>
      </c>
      <c r="X43" s="162">
        <v>3484.8</v>
      </c>
      <c r="Y43" s="157">
        <v>14046</v>
      </c>
      <c r="Z43" s="162">
        <v>3484.8</v>
      </c>
      <c r="AA43" s="162">
        <v>0</v>
      </c>
      <c r="AB43" s="162">
        <v>0</v>
      </c>
      <c r="AC43" s="157">
        <v>51260</v>
      </c>
      <c r="AD43" s="162">
        <v>0</v>
      </c>
      <c r="AE43" s="157" t="s">
        <v>433</v>
      </c>
      <c r="AF43" s="159"/>
      <c r="AG43" s="159"/>
      <c r="AH43" s="159" t="s">
        <v>2</v>
      </c>
      <c r="AI43" s="159" t="s">
        <v>1785</v>
      </c>
      <c r="AJ43" s="159" t="s">
        <v>1787</v>
      </c>
      <c r="AK43" s="159">
        <v>0</v>
      </c>
      <c r="AL43" s="159" t="s">
        <v>1782</v>
      </c>
      <c r="AM43" s="159" t="s">
        <v>1782</v>
      </c>
      <c r="AN43" s="275">
        <f t="shared" si="1"/>
        <v>12</v>
      </c>
      <c r="AO43" s="275">
        <f t="shared" si="2"/>
        <v>2015</v>
      </c>
      <c r="AP43" s="276">
        <f t="shared" si="3"/>
        <v>2018</v>
      </c>
      <c r="AQ43" s="277">
        <f t="shared" si="4"/>
        <v>2019</v>
      </c>
      <c r="AR43" s="278">
        <f t="shared" si="5"/>
        <v>96.800000000000011</v>
      </c>
      <c r="AS43" s="279">
        <f t="shared" si="6"/>
        <v>1161.6000000000001</v>
      </c>
      <c r="AT43" s="279">
        <f t="shared" si="7"/>
        <v>0</v>
      </c>
      <c r="AU43" s="279">
        <f t="shared" si="8"/>
        <v>3484.8</v>
      </c>
      <c r="AV43" s="279">
        <f t="shared" si="9"/>
        <v>3484.8</v>
      </c>
      <c r="AW43" s="280">
        <f t="shared" si="10"/>
        <v>0</v>
      </c>
      <c r="AX43" s="281" t="s">
        <v>77</v>
      </c>
    </row>
    <row r="44" spans="2:50">
      <c r="B44" s="157">
        <v>2149</v>
      </c>
      <c r="C44" s="158">
        <v>316390</v>
      </c>
      <c r="D44" s="157">
        <v>316369</v>
      </c>
      <c r="E44" s="159" t="s">
        <v>1626</v>
      </c>
      <c r="F44" s="160" t="s">
        <v>1696</v>
      </c>
      <c r="G44" s="160"/>
      <c r="H44" s="160"/>
      <c r="I44" s="157">
        <v>1</v>
      </c>
      <c r="J44" s="159"/>
      <c r="K44" s="157">
        <v>0</v>
      </c>
      <c r="L44" s="159" t="s">
        <v>1105</v>
      </c>
      <c r="M44" s="159"/>
      <c r="N44" s="159" t="s">
        <v>1788</v>
      </c>
      <c r="O44" s="159" t="s">
        <v>1789</v>
      </c>
      <c r="P44" s="159" t="s">
        <v>683</v>
      </c>
      <c r="Q44" s="159"/>
      <c r="R44" s="159"/>
      <c r="S44" s="161">
        <v>42216</v>
      </c>
      <c r="T44" s="161">
        <v>42216</v>
      </c>
      <c r="U44" s="159" t="s">
        <v>1697</v>
      </c>
      <c r="V44" s="157">
        <v>300</v>
      </c>
      <c r="W44" s="157">
        <v>14040</v>
      </c>
      <c r="X44" s="162">
        <v>3597.31</v>
      </c>
      <c r="Y44" s="157">
        <v>14046</v>
      </c>
      <c r="Z44" s="162">
        <v>3597.31</v>
      </c>
      <c r="AA44" s="162">
        <v>0</v>
      </c>
      <c r="AB44" s="162">
        <v>0</v>
      </c>
      <c r="AC44" s="157">
        <v>51260</v>
      </c>
      <c r="AD44" s="162">
        <v>0</v>
      </c>
      <c r="AE44" s="157" t="s">
        <v>433</v>
      </c>
      <c r="AF44" s="159"/>
      <c r="AG44" s="159"/>
      <c r="AH44" s="159" t="s">
        <v>2</v>
      </c>
      <c r="AI44" s="159" t="s">
        <v>1785</v>
      </c>
      <c r="AJ44" s="159" t="s">
        <v>1787</v>
      </c>
      <c r="AK44" s="159">
        <v>0</v>
      </c>
      <c r="AL44" s="159" t="s">
        <v>1782</v>
      </c>
      <c r="AM44" s="159" t="s">
        <v>1782</v>
      </c>
      <c r="AN44" s="275">
        <f t="shared" si="1"/>
        <v>7</v>
      </c>
      <c r="AO44" s="275">
        <f t="shared" si="2"/>
        <v>2015</v>
      </c>
      <c r="AP44" s="276">
        <f t="shared" si="3"/>
        <v>2018</v>
      </c>
      <c r="AQ44" s="277">
        <f t="shared" si="4"/>
        <v>2018.5833333333333</v>
      </c>
      <c r="AR44" s="278">
        <f t="shared" si="5"/>
        <v>99.925277777777765</v>
      </c>
      <c r="AS44" s="279">
        <f t="shared" si="6"/>
        <v>1199.1033333333332</v>
      </c>
      <c r="AT44" s="279">
        <f t="shared" si="7"/>
        <v>0</v>
      </c>
      <c r="AU44" s="279">
        <f t="shared" si="8"/>
        <v>3597.31</v>
      </c>
      <c r="AV44" s="279">
        <f t="shared" si="9"/>
        <v>3597.31</v>
      </c>
      <c r="AW44" s="280">
        <f t="shared" si="10"/>
        <v>0</v>
      </c>
      <c r="AX44" s="281" t="s">
        <v>77</v>
      </c>
    </row>
    <row r="45" spans="2:50">
      <c r="B45" s="157">
        <v>2149</v>
      </c>
      <c r="C45" s="158">
        <v>316389</v>
      </c>
      <c r="D45" s="157">
        <v>316368</v>
      </c>
      <c r="E45" s="159" t="s">
        <v>1626</v>
      </c>
      <c r="F45" s="160" t="s">
        <v>1698</v>
      </c>
      <c r="G45" s="160"/>
      <c r="H45" s="160"/>
      <c r="I45" s="157">
        <v>1</v>
      </c>
      <c r="J45" s="159"/>
      <c r="K45" s="157">
        <v>0</v>
      </c>
      <c r="L45" s="159" t="s">
        <v>1105</v>
      </c>
      <c r="M45" s="159"/>
      <c r="N45" s="159" t="s">
        <v>1788</v>
      </c>
      <c r="O45" s="159" t="s">
        <v>1789</v>
      </c>
      <c r="P45" s="159" t="s">
        <v>683</v>
      </c>
      <c r="Q45" s="159"/>
      <c r="R45" s="159"/>
      <c r="S45" s="161">
        <v>41152</v>
      </c>
      <c r="T45" s="161">
        <v>41152</v>
      </c>
      <c r="U45" s="159" t="s">
        <v>1699</v>
      </c>
      <c r="V45" s="157">
        <v>300</v>
      </c>
      <c r="W45" s="157">
        <v>14040</v>
      </c>
      <c r="X45" s="162">
        <v>3402.2</v>
      </c>
      <c r="Y45" s="157">
        <v>14046</v>
      </c>
      <c r="Z45" s="162">
        <v>3402.2</v>
      </c>
      <c r="AA45" s="162">
        <v>0</v>
      </c>
      <c r="AB45" s="162">
        <v>0</v>
      </c>
      <c r="AC45" s="157">
        <v>51260</v>
      </c>
      <c r="AD45" s="162">
        <v>0</v>
      </c>
      <c r="AE45" s="157" t="s">
        <v>433</v>
      </c>
      <c r="AF45" s="159"/>
      <c r="AG45" s="159"/>
      <c r="AH45" s="159" t="s">
        <v>2</v>
      </c>
      <c r="AI45" s="159" t="s">
        <v>1785</v>
      </c>
      <c r="AJ45" s="159" t="s">
        <v>1787</v>
      </c>
      <c r="AK45" s="159">
        <v>0</v>
      </c>
      <c r="AL45" s="159" t="s">
        <v>1782</v>
      </c>
      <c r="AM45" s="159" t="s">
        <v>1782</v>
      </c>
      <c r="AN45" s="275">
        <f t="shared" si="1"/>
        <v>8</v>
      </c>
      <c r="AO45" s="275">
        <f t="shared" si="2"/>
        <v>2012</v>
      </c>
      <c r="AP45" s="276">
        <f t="shared" si="3"/>
        <v>2015</v>
      </c>
      <c r="AQ45" s="277">
        <f t="shared" si="4"/>
        <v>2015.6666666666667</v>
      </c>
      <c r="AR45" s="278">
        <f t="shared" si="5"/>
        <v>94.505555555555546</v>
      </c>
      <c r="AS45" s="279">
        <f t="shared" si="6"/>
        <v>1134.0666666666666</v>
      </c>
      <c r="AT45" s="279">
        <f t="shared" si="7"/>
        <v>0</v>
      </c>
      <c r="AU45" s="279">
        <f t="shared" si="8"/>
        <v>3402.2</v>
      </c>
      <c r="AV45" s="279">
        <f t="shared" si="9"/>
        <v>3402.2</v>
      </c>
      <c r="AW45" s="280">
        <f t="shared" si="10"/>
        <v>0</v>
      </c>
      <c r="AX45" s="281" t="s">
        <v>77</v>
      </c>
    </row>
    <row r="46" spans="2:50">
      <c r="B46" s="157">
        <v>2149</v>
      </c>
      <c r="C46" s="158">
        <v>316388</v>
      </c>
      <c r="D46" s="157">
        <v>316381</v>
      </c>
      <c r="E46" s="159" t="s">
        <v>1626</v>
      </c>
      <c r="F46" s="160" t="s">
        <v>1700</v>
      </c>
      <c r="G46" s="160"/>
      <c r="H46" s="160"/>
      <c r="I46" s="157">
        <v>1</v>
      </c>
      <c r="J46" s="159"/>
      <c r="K46" s="157">
        <v>0</v>
      </c>
      <c r="L46" s="159" t="s">
        <v>1105</v>
      </c>
      <c r="M46" s="159"/>
      <c r="N46" s="159" t="s">
        <v>1788</v>
      </c>
      <c r="O46" s="159" t="s">
        <v>1789</v>
      </c>
      <c r="P46" s="159" t="s">
        <v>683</v>
      </c>
      <c r="Q46" s="159"/>
      <c r="R46" s="159"/>
      <c r="S46" s="161">
        <v>41064</v>
      </c>
      <c r="T46" s="161">
        <v>41064</v>
      </c>
      <c r="U46" s="159" t="s">
        <v>1701</v>
      </c>
      <c r="V46" s="157">
        <v>300</v>
      </c>
      <c r="W46" s="157">
        <v>14040</v>
      </c>
      <c r="X46" s="162">
        <v>3864.18</v>
      </c>
      <c r="Y46" s="157">
        <v>14046</v>
      </c>
      <c r="Z46" s="162">
        <v>3864.18</v>
      </c>
      <c r="AA46" s="162">
        <v>0</v>
      </c>
      <c r="AB46" s="162">
        <v>0</v>
      </c>
      <c r="AC46" s="157">
        <v>51260</v>
      </c>
      <c r="AD46" s="162">
        <v>0</v>
      </c>
      <c r="AE46" s="157" t="s">
        <v>433</v>
      </c>
      <c r="AF46" s="159"/>
      <c r="AG46" s="159"/>
      <c r="AH46" s="159" t="s">
        <v>2</v>
      </c>
      <c r="AI46" s="159" t="s">
        <v>1785</v>
      </c>
      <c r="AJ46" s="159" t="s">
        <v>1787</v>
      </c>
      <c r="AK46" s="159">
        <v>0</v>
      </c>
      <c r="AL46" s="159" t="s">
        <v>1782</v>
      </c>
      <c r="AM46" s="159" t="s">
        <v>1782</v>
      </c>
      <c r="AN46" s="275">
        <f t="shared" si="1"/>
        <v>6</v>
      </c>
      <c r="AO46" s="275">
        <f t="shared" si="2"/>
        <v>2012</v>
      </c>
      <c r="AP46" s="276">
        <f t="shared" si="3"/>
        <v>2015</v>
      </c>
      <c r="AQ46" s="277">
        <f t="shared" si="4"/>
        <v>2015.5</v>
      </c>
      <c r="AR46" s="278">
        <f t="shared" si="5"/>
        <v>107.33833333333332</v>
      </c>
      <c r="AS46" s="279">
        <f t="shared" si="6"/>
        <v>1288.06</v>
      </c>
      <c r="AT46" s="279">
        <f t="shared" si="7"/>
        <v>0</v>
      </c>
      <c r="AU46" s="279">
        <f t="shared" si="8"/>
        <v>3864.18</v>
      </c>
      <c r="AV46" s="279">
        <f t="shared" si="9"/>
        <v>3864.18</v>
      </c>
      <c r="AW46" s="280">
        <f t="shared" si="10"/>
        <v>0</v>
      </c>
      <c r="AX46" s="281" t="s">
        <v>77</v>
      </c>
    </row>
    <row r="47" spans="2:50">
      <c r="B47" s="157">
        <v>2149</v>
      </c>
      <c r="C47" s="158">
        <v>316387</v>
      </c>
      <c r="D47" s="157">
        <v>316378</v>
      </c>
      <c r="E47" s="159" t="s">
        <v>1626</v>
      </c>
      <c r="F47" s="160" t="s">
        <v>1702</v>
      </c>
      <c r="G47" s="160"/>
      <c r="H47" s="160"/>
      <c r="I47" s="157">
        <v>1</v>
      </c>
      <c r="J47" s="159"/>
      <c r="K47" s="157">
        <v>0</v>
      </c>
      <c r="L47" s="159" t="s">
        <v>1105</v>
      </c>
      <c r="M47" s="159"/>
      <c r="N47" s="159" t="s">
        <v>1788</v>
      </c>
      <c r="O47" s="159" t="s">
        <v>1789</v>
      </c>
      <c r="P47" s="159" t="s">
        <v>683</v>
      </c>
      <c r="Q47" s="159"/>
      <c r="R47" s="159"/>
      <c r="S47" s="161">
        <v>40990</v>
      </c>
      <c r="T47" s="161">
        <v>40990</v>
      </c>
      <c r="U47" s="159" t="s">
        <v>1703</v>
      </c>
      <c r="V47" s="157">
        <v>300</v>
      </c>
      <c r="W47" s="157">
        <v>14040</v>
      </c>
      <c r="X47" s="162">
        <v>3618.83</v>
      </c>
      <c r="Y47" s="157">
        <v>14046</v>
      </c>
      <c r="Z47" s="162">
        <v>3618.83</v>
      </c>
      <c r="AA47" s="162">
        <v>0</v>
      </c>
      <c r="AB47" s="162">
        <v>0</v>
      </c>
      <c r="AC47" s="157">
        <v>51260</v>
      </c>
      <c r="AD47" s="162">
        <v>0</v>
      </c>
      <c r="AE47" s="157" t="s">
        <v>433</v>
      </c>
      <c r="AF47" s="159"/>
      <c r="AG47" s="159"/>
      <c r="AH47" s="159" t="s">
        <v>2</v>
      </c>
      <c r="AI47" s="159" t="s">
        <v>1785</v>
      </c>
      <c r="AJ47" s="159" t="s">
        <v>1787</v>
      </c>
      <c r="AK47" s="159">
        <v>0</v>
      </c>
      <c r="AL47" s="159" t="s">
        <v>1782</v>
      </c>
      <c r="AM47" s="159" t="s">
        <v>1782</v>
      </c>
      <c r="AN47" s="275">
        <f t="shared" si="1"/>
        <v>3</v>
      </c>
      <c r="AO47" s="275">
        <f t="shared" si="2"/>
        <v>2012</v>
      </c>
      <c r="AP47" s="276">
        <f t="shared" si="3"/>
        <v>2015</v>
      </c>
      <c r="AQ47" s="277">
        <f t="shared" si="4"/>
        <v>2015.25</v>
      </c>
      <c r="AR47" s="278">
        <f t="shared" si="5"/>
        <v>100.52305555555556</v>
      </c>
      <c r="AS47" s="279">
        <f t="shared" si="6"/>
        <v>1206.2766666666666</v>
      </c>
      <c r="AT47" s="279">
        <f t="shared" si="7"/>
        <v>0</v>
      </c>
      <c r="AU47" s="279">
        <f t="shared" si="8"/>
        <v>3618.83</v>
      </c>
      <c r="AV47" s="279">
        <f t="shared" si="9"/>
        <v>3618.83</v>
      </c>
      <c r="AW47" s="280">
        <f t="shared" si="10"/>
        <v>0</v>
      </c>
      <c r="AX47" s="281" t="s">
        <v>77</v>
      </c>
    </row>
    <row r="48" spans="2:50">
      <c r="B48" s="157">
        <v>2149</v>
      </c>
      <c r="C48" s="158">
        <v>316386</v>
      </c>
      <c r="D48" s="157">
        <v>316377</v>
      </c>
      <c r="E48" s="159" t="s">
        <v>1626</v>
      </c>
      <c r="F48" s="160" t="s">
        <v>1704</v>
      </c>
      <c r="G48" s="160"/>
      <c r="H48" s="160"/>
      <c r="I48" s="157">
        <v>1</v>
      </c>
      <c r="J48" s="159"/>
      <c r="K48" s="157">
        <v>0</v>
      </c>
      <c r="L48" s="159" t="s">
        <v>1705</v>
      </c>
      <c r="M48" s="159"/>
      <c r="N48" s="159" t="s">
        <v>1788</v>
      </c>
      <c r="O48" s="159" t="s">
        <v>1789</v>
      </c>
      <c r="P48" s="159" t="s">
        <v>683</v>
      </c>
      <c r="Q48" s="159"/>
      <c r="R48" s="159"/>
      <c r="S48" s="161">
        <v>40883</v>
      </c>
      <c r="T48" s="161">
        <v>40883</v>
      </c>
      <c r="U48" s="159" t="s">
        <v>1706</v>
      </c>
      <c r="V48" s="157">
        <v>300</v>
      </c>
      <c r="W48" s="157">
        <v>14040</v>
      </c>
      <c r="X48" s="162">
        <v>3379.22</v>
      </c>
      <c r="Y48" s="157">
        <v>14046</v>
      </c>
      <c r="Z48" s="162">
        <v>3379.22</v>
      </c>
      <c r="AA48" s="162">
        <v>0</v>
      </c>
      <c r="AB48" s="162">
        <v>0</v>
      </c>
      <c r="AC48" s="157">
        <v>51260</v>
      </c>
      <c r="AD48" s="162">
        <v>0</v>
      </c>
      <c r="AE48" s="157" t="s">
        <v>433</v>
      </c>
      <c r="AF48" s="159"/>
      <c r="AG48" s="159"/>
      <c r="AH48" s="159" t="s">
        <v>2</v>
      </c>
      <c r="AI48" s="159" t="s">
        <v>1785</v>
      </c>
      <c r="AJ48" s="159" t="s">
        <v>1787</v>
      </c>
      <c r="AK48" s="159">
        <v>0</v>
      </c>
      <c r="AL48" s="159" t="s">
        <v>1782</v>
      </c>
      <c r="AM48" s="159" t="s">
        <v>1782</v>
      </c>
      <c r="AN48" s="275">
        <f t="shared" si="1"/>
        <v>12</v>
      </c>
      <c r="AO48" s="275">
        <f t="shared" si="2"/>
        <v>2011</v>
      </c>
      <c r="AP48" s="276">
        <f t="shared" si="3"/>
        <v>2014</v>
      </c>
      <c r="AQ48" s="277">
        <f t="shared" si="4"/>
        <v>2015</v>
      </c>
      <c r="AR48" s="278">
        <f t="shared" si="5"/>
        <v>93.86722222222221</v>
      </c>
      <c r="AS48" s="279">
        <f t="shared" si="6"/>
        <v>1126.4066666666665</v>
      </c>
      <c r="AT48" s="279">
        <f t="shared" si="7"/>
        <v>0</v>
      </c>
      <c r="AU48" s="279">
        <f t="shared" si="8"/>
        <v>3379.22</v>
      </c>
      <c r="AV48" s="279">
        <f t="shared" si="9"/>
        <v>3379.22</v>
      </c>
      <c r="AW48" s="280">
        <f t="shared" si="10"/>
        <v>0</v>
      </c>
      <c r="AX48" s="281" t="s">
        <v>77</v>
      </c>
    </row>
    <row r="49" spans="2:50">
      <c r="B49" s="157">
        <v>2149</v>
      </c>
      <c r="C49" s="158">
        <v>316385</v>
      </c>
      <c r="D49" s="157">
        <v>316376</v>
      </c>
      <c r="E49" s="159" t="s">
        <v>1626</v>
      </c>
      <c r="F49" s="160" t="s">
        <v>1707</v>
      </c>
      <c r="G49" s="160"/>
      <c r="H49" s="160"/>
      <c r="I49" s="157">
        <v>1</v>
      </c>
      <c r="J49" s="159"/>
      <c r="K49" s="157">
        <v>0</v>
      </c>
      <c r="L49" s="159" t="s">
        <v>759</v>
      </c>
      <c r="M49" s="159"/>
      <c r="N49" s="159" t="s">
        <v>1788</v>
      </c>
      <c r="O49" s="159" t="s">
        <v>1789</v>
      </c>
      <c r="P49" s="159" t="s">
        <v>683</v>
      </c>
      <c r="Q49" s="159"/>
      <c r="R49" s="159"/>
      <c r="S49" s="161">
        <v>40822</v>
      </c>
      <c r="T49" s="161">
        <v>40822</v>
      </c>
      <c r="U49" s="159" t="s">
        <v>1708</v>
      </c>
      <c r="V49" s="157">
        <v>300</v>
      </c>
      <c r="W49" s="157">
        <v>14040</v>
      </c>
      <c r="X49" s="162">
        <v>3442.05</v>
      </c>
      <c r="Y49" s="157">
        <v>14046</v>
      </c>
      <c r="Z49" s="162">
        <v>3442.05</v>
      </c>
      <c r="AA49" s="162">
        <v>0</v>
      </c>
      <c r="AB49" s="162">
        <v>0</v>
      </c>
      <c r="AC49" s="157">
        <v>51260</v>
      </c>
      <c r="AD49" s="162">
        <v>0</v>
      </c>
      <c r="AE49" s="157" t="s">
        <v>433</v>
      </c>
      <c r="AF49" s="159"/>
      <c r="AG49" s="159"/>
      <c r="AH49" s="159" t="s">
        <v>2</v>
      </c>
      <c r="AI49" s="159" t="s">
        <v>1785</v>
      </c>
      <c r="AJ49" s="159" t="s">
        <v>1787</v>
      </c>
      <c r="AK49" s="159">
        <v>0</v>
      </c>
      <c r="AL49" s="159" t="s">
        <v>1782</v>
      </c>
      <c r="AM49" s="159" t="s">
        <v>1782</v>
      </c>
      <c r="AN49" s="275">
        <f t="shared" ref="AN49:AN80" si="11">MONTH($S49)</f>
        <v>10</v>
      </c>
      <c r="AO49" s="275">
        <f t="shared" ref="AO49:AO80" si="12">YEAR($S49)</f>
        <v>2011</v>
      </c>
      <c r="AP49" s="276">
        <f t="shared" ref="AP49:AP80" si="13">$AO49+($V49/100)</f>
        <v>2014</v>
      </c>
      <c r="AQ49" s="277">
        <f t="shared" ref="AQ49:AQ80" si="14">$AP49+($AN49/12)</f>
        <v>2014.8333333333333</v>
      </c>
      <c r="AR49" s="278">
        <f t="shared" ref="AR49:AR80" si="15">IFERROR($X49/($V49/100)/12,0)</f>
        <v>95.612500000000011</v>
      </c>
      <c r="AS49" s="279">
        <f t="shared" ref="AS49:AS80" si="16">$AR49*12</f>
        <v>1147.3500000000001</v>
      </c>
      <c r="AT49" s="279">
        <f t="shared" ref="AT49:AT80" si="17">IF(AQ49&lt;$AK$12,0,AS49)</f>
        <v>0</v>
      </c>
      <c r="AU49" s="279">
        <f t="shared" ref="AU49:AU80" si="18">IF(AQ49&lt;=$AK$13,X49,IF((AO49+(AN49/12))&gt;=$AK$13,0,((X49-((AQ49-$AK$13)*12)*AR49))))</f>
        <v>3442.05</v>
      </c>
      <c r="AV49" s="279">
        <f t="shared" ref="AV49:AV80" si="19">IF(AQ49&lt;$AK$12,X49,AT49+AU49)</f>
        <v>3442.05</v>
      </c>
      <c r="AW49" s="280">
        <f t="shared" ref="AW49:AW80" si="20">+X49-AV49</f>
        <v>0</v>
      </c>
      <c r="AX49" s="281" t="s">
        <v>77</v>
      </c>
    </row>
    <row r="50" spans="2:50">
      <c r="B50" s="157">
        <v>2149</v>
      </c>
      <c r="C50" s="158">
        <v>316384</v>
      </c>
      <c r="D50" s="157">
        <v>316370</v>
      </c>
      <c r="E50" s="159" t="s">
        <v>1626</v>
      </c>
      <c r="F50" s="160" t="s">
        <v>1709</v>
      </c>
      <c r="G50" s="160"/>
      <c r="H50" s="160"/>
      <c r="I50" s="157">
        <v>1</v>
      </c>
      <c r="J50" s="159"/>
      <c r="K50" s="157">
        <v>0</v>
      </c>
      <c r="L50" s="159" t="s">
        <v>759</v>
      </c>
      <c r="M50" s="159"/>
      <c r="N50" s="159" t="s">
        <v>1788</v>
      </c>
      <c r="O50" s="159" t="s">
        <v>1789</v>
      </c>
      <c r="P50" s="159" t="s">
        <v>683</v>
      </c>
      <c r="Q50" s="159"/>
      <c r="R50" s="159"/>
      <c r="S50" s="161">
        <v>40793</v>
      </c>
      <c r="T50" s="161">
        <v>40793</v>
      </c>
      <c r="U50" s="159" t="s">
        <v>1710</v>
      </c>
      <c r="V50" s="157">
        <v>300</v>
      </c>
      <c r="W50" s="157">
        <v>14040</v>
      </c>
      <c r="X50" s="162">
        <v>3456.55</v>
      </c>
      <c r="Y50" s="157">
        <v>14046</v>
      </c>
      <c r="Z50" s="162">
        <v>3456.55</v>
      </c>
      <c r="AA50" s="162">
        <v>0</v>
      </c>
      <c r="AB50" s="162">
        <v>0</v>
      </c>
      <c r="AC50" s="157">
        <v>51260</v>
      </c>
      <c r="AD50" s="162">
        <v>0</v>
      </c>
      <c r="AE50" s="157" t="s">
        <v>433</v>
      </c>
      <c r="AF50" s="159"/>
      <c r="AG50" s="159"/>
      <c r="AH50" s="159" t="s">
        <v>2</v>
      </c>
      <c r="AI50" s="159" t="s">
        <v>1785</v>
      </c>
      <c r="AJ50" s="159" t="s">
        <v>1787</v>
      </c>
      <c r="AK50" s="159">
        <v>0</v>
      </c>
      <c r="AL50" s="159" t="s">
        <v>1782</v>
      </c>
      <c r="AM50" s="159" t="s">
        <v>1782</v>
      </c>
      <c r="AN50" s="275">
        <f t="shared" si="11"/>
        <v>9</v>
      </c>
      <c r="AO50" s="275">
        <f t="shared" si="12"/>
        <v>2011</v>
      </c>
      <c r="AP50" s="276">
        <f t="shared" si="13"/>
        <v>2014</v>
      </c>
      <c r="AQ50" s="277">
        <f t="shared" si="14"/>
        <v>2014.75</v>
      </c>
      <c r="AR50" s="278">
        <f t="shared" si="15"/>
        <v>96.015277777777783</v>
      </c>
      <c r="AS50" s="279">
        <f t="shared" si="16"/>
        <v>1152.1833333333334</v>
      </c>
      <c r="AT50" s="279">
        <f t="shared" si="17"/>
        <v>0</v>
      </c>
      <c r="AU50" s="279">
        <f t="shared" si="18"/>
        <v>3456.55</v>
      </c>
      <c r="AV50" s="279">
        <f t="shared" si="19"/>
        <v>3456.55</v>
      </c>
      <c r="AW50" s="280">
        <f t="shared" si="20"/>
        <v>0</v>
      </c>
      <c r="AX50" s="281" t="s">
        <v>77</v>
      </c>
    </row>
    <row r="51" spans="2:50">
      <c r="B51" s="157">
        <v>2149</v>
      </c>
      <c r="C51" s="158">
        <v>316383</v>
      </c>
      <c r="D51" s="157">
        <v>316372</v>
      </c>
      <c r="E51" s="159" t="s">
        <v>1626</v>
      </c>
      <c r="F51" s="160" t="s">
        <v>1711</v>
      </c>
      <c r="G51" s="160"/>
      <c r="H51" s="160"/>
      <c r="I51" s="157">
        <v>1</v>
      </c>
      <c r="J51" s="159"/>
      <c r="K51" s="157">
        <v>0</v>
      </c>
      <c r="L51" s="159" t="s">
        <v>759</v>
      </c>
      <c r="M51" s="159"/>
      <c r="N51" s="159" t="s">
        <v>1788</v>
      </c>
      <c r="O51" s="159" t="s">
        <v>1789</v>
      </c>
      <c r="P51" s="159" t="s">
        <v>683</v>
      </c>
      <c r="Q51" s="159"/>
      <c r="R51" s="159"/>
      <c r="S51" s="161">
        <v>40772</v>
      </c>
      <c r="T51" s="161">
        <v>40772</v>
      </c>
      <c r="U51" s="159" t="s">
        <v>1712</v>
      </c>
      <c r="V51" s="157">
        <v>300</v>
      </c>
      <c r="W51" s="157">
        <v>14040</v>
      </c>
      <c r="X51" s="162">
        <v>3456.43</v>
      </c>
      <c r="Y51" s="157">
        <v>14046</v>
      </c>
      <c r="Z51" s="162">
        <v>3456.43</v>
      </c>
      <c r="AA51" s="162">
        <v>0</v>
      </c>
      <c r="AB51" s="162">
        <v>0</v>
      </c>
      <c r="AC51" s="157">
        <v>51260</v>
      </c>
      <c r="AD51" s="162">
        <v>0</v>
      </c>
      <c r="AE51" s="157" t="s">
        <v>433</v>
      </c>
      <c r="AF51" s="159"/>
      <c r="AG51" s="159"/>
      <c r="AH51" s="159" t="s">
        <v>2</v>
      </c>
      <c r="AI51" s="159" t="s">
        <v>1785</v>
      </c>
      <c r="AJ51" s="159" t="s">
        <v>1787</v>
      </c>
      <c r="AK51" s="159">
        <v>0</v>
      </c>
      <c r="AL51" s="159" t="s">
        <v>1782</v>
      </c>
      <c r="AM51" s="159" t="s">
        <v>1782</v>
      </c>
      <c r="AN51" s="275">
        <f t="shared" si="11"/>
        <v>8</v>
      </c>
      <c r="AO51" s="275">
        <f t="shared" si="12"/>
        <v>2011</v>
      </c>
      <c r="AP51" s="276">
        <f t="shared" si="13"/>
        <v>2014</v>
      </c>
      <c r="AQ51" s="277">
        <f t="shared" si="14"/>
        <v>2014.6666666666667</v>
      </c>
      <c r="AR51" s="278">
        <f t="shared" si="15"/>
        <v>96.011944444444438</v>
      </c>
      <c r="AS51" s="279">
        <f t="shared" si="16"/>
        <v>1152.1433333333332</v>
      </c>
      <c r="AT51" s="279">
        <f t="shared" si="17"/>
        <v>0</v>
      </c>
      <c r="AU51" s="279">
        <f t="shared" si="18"/>
        <v>3456.43</v>
      </c>
      <c r="AV51" s="279">
        <f t="shared" si="19"/>
        <v>3456.43</v>
      </c>
      <c r="AW51" s="280">
        <f t="shared" si="20"/>
        <v>0</v>
      </c>
      <c r="AX51" s="281" t="s">
        <v>77</v>
      </c>
    </row>
    <row r="52" spans="2:50">
      <c r="B52" s="157">
        <v>2149</v>
      </c>
      <c r="C52" s="158">
        <v>316382</v>
      </c>
      <c r="D52" s="157">
        <v>316371</v>
      </c>
      <c r="E52" s="159" t="s">
        <v>1626</v>
      </c>
      <c r="F52" s="160" t="s">
        <v>1713</v>
      </c>
      <c r="G52" s="160"/>
      <c r="H52" s="160"/>
      <c r="I52" s="157">
        <v>1</v>
      </c>
      <c r="J52" s="159"/>
      <c r="K52" s="157">
        <v>0</v>
      </c>
      <c r="L52" s="159" t="s">
        <v>1714</v>
      </c>
      <c r="M52" s="159"/>
      <c r="N52" s="159" t="s">
        <v>1788</v>
      </c>
      <c r="O52" s="159" t="s">
        <v>1789</v>
      </c>
      <c r="P52" s="159" t="s">
        <v>683</v>
      </c>
      <c r="Q52" s="159"/>
      <c r="R52" s="159"/>
      <c r="S52" s="161">
        <v>40702</v>
      </c>
      <c r="T52" s="161">
        <v>40702</v>
      </c>
      <c r="U52" s="159" t="s">
        <v>1715</v>
      </c>
      <c r="V52" s="157">
        <v>300</v>
      </c>
      <c r="W52" s="157">
        <v>14040</v>
      </c>
      <c r="X52" s="162">
        <v>3569.6</v>
      </c>
      <c r="Y52" s="157">
        <v>14046</v>
      </c>
      <c r="Z52" s="162">
        <v>3569.6</v>
      </c>
      <c r="AA52" s="162">
        <v>0</v>
      </c>
      <c r="AB52" s="162">
        <v>0</v>
      </c>
      <c r="AC52" s="157">
        <v>51260</v>
      </c>
      <c r="AD52" s="162">
        <v>0</v>
      </c>
      <c r="AE52" s="157" t="s">
        <v>433</v>
      </c>
      <c r="AF52" s="159"/>
      <c r="AG52" s="159"/>
      <c r="AH52" s="159" t="s">
        <v>2</v>
      </c>
      <c r="AI52" s="159" t="s">
        <v>1785</v>
      </c>
      <c r="AJ52" s="159" t="s">
        <v>1787</v>
      </c>
      <c r="AK52" s="159">
        <v>0</v>
      </c>
      <c r="AL52" s="159" t="s">
        <v>1782</v>
      </c>
      <c r="AM52" s="159" t="s">
        <v>1782</v>
      </c>
      <c r="AN52" s="275">
        <f t="shared" si="11"/>
        <v>6</v>
      </c>
      <c r="AO52" s="275">
        <f t="shared" si="12"/>
        <v>2011</v>
      </c>
      <c r="AP52" s="276">
        <f t="shared" si="13"/>
        <v>2014</v>
      </c>
      <c r="AQ52" s="277">
        <f t="shared" si="14"/>
        <v>2014.5</v>
      </c>
      <c r="AR52" s="278">
        <f t="shared" si="15"/>
        <v>99.155555555555551</v>
      </c>
      <c r="AS52" s="279">
        <f t="shared" si="16"/>
        <v>1189.8666666666666</v>
      </c>
      <c r="AT52" s="279">
        <f t="shared" si="17"/>
        <v>0</v>
      </c>
      <c r="AU52" s="279">
        <f t="shared" si="18"/>
        <v>3569.6</v>
      </c>
      <c r="AV52" s="279">
        <f t="shared" si="19"/>
        <v>3569.6</v>
      </c>
      <c r="AW52" s="280">
        <f t="shared" si="20"/>
        <v>0</v>
      </c>
      <c r="AX52" s="281" t="s">
        <v>77</v>
      </c>
    </row>
    <row r="53" spans="2:50">
      <c r="B53" s="157">
        <v>2149</v>
      </c>
      <c r="C53" s="158">
        <v>316381</v>
      </c>
      <c r="D53" s="157" t="s">
        <v>433</v>
      </c>
      <c r="E53" s="159" t="s">
        <v>1626</v>
      </c>
      <c r="F53" s="160" t="s">
        <v>1716</v>
      </c>
      <c r="G53" s="160"/>
      <c r="H53" s="160"/>
      <c r="I53" s="157">
        <v>1</v>
      </c>
      <c r="J53" s="159" t="s">
        <v>1717</v>
      </c>
      <c r="K53" s="157">
        <v>1998</v>
      </c>
      <c r="L53" s="159" t="s">
        <v>1718</v>
      </c>
      <c r="M53" s="159" t="s">
        <v>722</v>
      </c>
      <c r="N53" s="159" t="s">
        <v>1788</v>
      </c>
      <c r="O53" s="159" t="s">
        <v>1789</v>
      </c>
      <c r="P53" s="159" t="s">
        <v>1817</v>
      </c>
      <c r="Q53" s="159"/>
      <c r="R53" s="159"/>
      <c r="S53" s="161">
        <v>39755</v>
      </c>
      <c r="T53" s="161">
        <v>39755</v>
      </c>
      <c r="U53" s="159"/>
      <c r="V53" s="157">
        <v>300</v>
      </c>
      <c r="W53" s="157">
        <v>14040</v>
      </c>
      <c r="X53" s="162">
        <v>7000</v>
      </c>
      <c r="Y53" s="157">
        <v>14046</v>
      </c>
      <c r="Z53" s="162">
        <v>7000</v>
      </c>
      <c r="AA53" s="162">
        <v>0</v>
      </c>
      <c r="AB53" s="162">
        <v>0</v>
      </c>
      <c r="AC53" s="157">
        <v>51260</v>
      </c>
      <c r="AD53" s="162">
        <v>0</v>
      </c>
      <c r="AE53" s="157" t="s">
        <v>663</v>
      </c>
      <c r="AF53" s="159" t="s">
        <v>905</v>
      </c>
      <c r="AG53" s="159">
        <v>8839</v>
      </c>
      <c r="AH53" s="159" t="s">
        <v>2</v>
      </c>
      <c r="AI53" s="159" t="s">
        <v>1785</v>
      </c>
      <c r="AJ53" s="159" t="s">
        <v>1787</v>
      </c>
      <c r="AK53" s="159">
        <v>8839</v>
      </c>
      <c r="AL53" s="159" t="s">
        <v>1782</v>
      </c>
      <c r="AM53" s="159" t="s">
        <v>1782</v>
      </c>
      <c r="AN53" s="275">
        <f t="shared" si="11"/>
        <v>11</v>
      </c>
      <c r="AO53" s="275">
        <f t="shared" si="12"/>
        <v>2008</v>
      </c>
      <c r="AP53" s="276">
        <f t="shared" si="13"/>
        <v>2011</v>
      </c>
      <c r="AQ53" s="277">
        <f t="shared" si="14"/>
        <v>2011.9166666666667</v>
      </c>
      <c r="AR53" s="278">
        <f t="shared" si="15"/>
        <v>194.44444444444446</v>
      </c>
      <c r="AS53" s="279">
        <f t="shared" si="16"/>
        <v>2333.3333333333335</v>
      </c>
      <c r="AT53" s="279">
        <f t="shared" si="17"/>
        <v>0</v>
      </c>
      <c r="AU53" s="279">
        <f t="shared" si="18"/>
        <v>7000</v>
      </c>
      <c r="AV53" s="279">
        <f t="shared" si="19"/>
        <v>7000</v>
      </c>
      <c r="AW53" s="280">
        <f t="shared" si="20"/>
        <v>0</v>
      </c>
      <c r="AX53" s="281" t="s">
        <v>77</v>
      </c>
    </row>
    <row r="54" spans="2:50">
      <c r="B54" s="157">
        <v>2149</v>
      </c>
      <c r="C54" s="158">
        <v>316380</v>
      </c>
      <c r="D54" s="157" t="s">
        <v>433</v>
      </c>
      <c r="E54" s="159" t="s">
        <v>1626</v>
      </c>
      <c r="F54" s="160" t="s">
        <v>1684</v>
      </c>
      <c r="G54" s="160"/>
      <c r="H54" s="160"/>
      <c r="I54" s="157">
        <v>1</v>
      </c>
      <c r="J54" s="159" t="s">
        <v>1719</v>
      </c>
      <c r="K54" s="157">
        <v>2009</v>
      </c>
      <c r="L54" s="159" t="s">
        <v>1686</v>
      </c>
      <c r="M54" s="159" t="s">
        <v>722</v>
      </c>
      <c r="N54" s="159" t="s">
        <v>1788</v>
      </c>
      <c r="O54" s="159" t="s">
        <v>1789</v>
      </c>
      <c r="P54" s="159" t="s">
        <v>1817</v>
      </c>
      <c r="Q54" s="159"/>
      <c r="R54" s="159"/>
      <c r="S54" s="161">
        <v>39755</v>
      </c>
      <c r="T54" s="161">
        <v>39755</v>
      </c>
      <c r="U54" s="159"/>
      <c r="V54" s="157">
        <v>600</v>
      </c>
      <c r="W54" s="157">
        <v>14040</v>
      </c>
      <c r="X54" s="162">
        <v>45277.3</v>
      </c>
      <c r="Y54" s="157">
        <v>14046</v>
      </c>
      <c r="Z54" s="162">
        <v>45277.3</v>
      </c>
      <c r="AA54" s="162">
        <v>0</v>
      </c>
      <c r="AB54" s="162">
        <v>0</v>
      </c>
      <c r="AC54" s="157">
        <v>51260</v>
      </c>
      <c r="AD54" s="162">
        <v>0</v>
      </c>
      <c r="AE54" s="157" t="s">
        <v>663</v>
      </c>
      <c r="AF54" s="159" t="s">
        <v>905</v>
      </c>
      <c r="AG54" s="159">
        <v>8910</v>
      </c>
      <c r="AH54" s="159" t="s">
        <v>2</v>
      </c>
      <c r="AI54" s="159" t="s">
        <v>1785</v>
      </c>
      <c r="AJ54" s="159" t="s">
        <v>1787</v>
      </c>
      <c r="AK54" s="159">
        <v>8910</v>
      </c>
      <c r="AL54" s="159" t="s">
        <v>1782</v>
      </c>
      <c r="AM54" s="159" t="s">
        <v>1782</v>
      </c>
      <c r="AN54" s="275">
        <f t="shared" si="11"/>
        <v>11</v>
      </c>
      <c r="AO54" s="275">
        <f t="shared" si="12"/>
        <v>2008</v>
      </c>
      <c r="AP54" s="276">
        <f t="shared" si="13"/>
        <v>2014</v>
      </c>
      <c r="AQ54" s="277">
        <f t="shared" si="14"/>
        <v>2014.9166666666667</v>
      </c>
      <c r="AR54" s="278">
        <f t="shared" si="15"/>
        <v>628.85138888888889</v>
      </c>
      <c r="AS54" s="279">
        <f t="shared" si="16"/>
        <v>7546.2166666666672</v>
      </c>
      <c r="AT54" s="279">
        <f t="shared" si="17"/>
        <v>0</v>
      </c>
      <c r="AU54" s="279">
        <f t="shared" si="18"/>
        <v>45277.3</v>
      </c>
      <c r="AV54" s="279">
        <f t="shared" si="19"/>
        <v>45277.3</v>
      </c>
      <c r="AW54" s="280">
        <f t="shared" si="20"/>
        <v>0</v>
      </c>
      <c r="AX54" s="281" t="s">
        <v>77</v>
      </c>
    </row>
    <row r="55" spans="2:50">
      <c r="B55" s="157">
        <v>2149</v>
      </c>
      <c r="C55" s="158">
        <v>316379</v>
      </c>
      <c r="D55" s="157" t="s">
        <v>433</v>
      </c>
      <c r="E55" s="159" t="s">
        <v>1626</v>
      </c>
      <c r="F55" s="160" t="s">
        <v>1684</v>
      </c>
      <c r="G55" s="160"/>
      <c r="H55" s="160"/>
      <c r="I55" s="157">
        <v>1</v>
      </c>
      <c r="J55" s="159" t="s">
        <v>1720</v>
      </c>
      <c r="K55" s="157">
        <v>2008</v>
      </c>
      <c r="L55" s="159" t="s">
        <v>1686</v>
      </c>
      <c r="M55" s="159" t="s">
        <v>722</v>
      </c>
      <c r="N55" s="159" t="s">
        <v>1788</v>
      </c>
      <c r="O55" s="159" t="s">
        <v>1789</v>
      </c>
      <c r="P55" s="159" t="s">
        <v>1817</v>
      </c>
      <c r="Q55" s="159"/>
      <c r="R55" s="159"/>
      <c r="S55" s="161">
        <v>39755</v>
      </c>
      <c r="T55" s="161">
        <v>39755</v>
      </c>
      <c r="U55" s="159"/>
      <c r="V55" s="157">
        <v>600</v>
      </c>
      <c r="W55" s="157">
        <v>14040</v>
      </c>
      <c r="X55" s="162">
        <v>45277.3</v>
      </c>
      <c r="Y55" s="157">
        <v>14046</v>
      </c>
      <c r="Z55" s="162">
        <v>45277.3</v>
      </c>
      <c r="AA55" s="162">
        <v>0</v>
      </c>
      <c r="AB55" s="162">
        <v>0</v>
      </c>
      <c r="AC55" s="157">
        <v>51260</v>
      </c>
      <c r="AD55" s="162">
        <v>0</v>
      </c>
      <c r="AE55" s="157" t="s">
        <v>663</v>
      </c>
      <c r="AF55" s="159" t="s">
        <v>905</v>
      </c>
      <c r="AG55" s="159">
        <v>8909</v>
      </c>
      <c r="AH55" s="159" t="s">
        <v>2</v>
      </c>
      <c r="AI55" s="159" t="s">
        <v>1785</v>
      </c>
      <c r="AJ55" s="159" t="s">
        <v>1787</v>
      </c>
      <c r="AK55" s="159">
        <v>8909</v>
      </c>
      <c r="AL55" s="159" t="s">
        <v>1782</v>
      </c>
      <c r="AM55" s="159" t="s">
        <v>1782</v>
      </c>
      <c r="AN55" s="275">
        <f t="shared" si="11"/>
        <v>11</v>
      </c>
      <c r="AO55" s="275">
        <f t="shared" si="12"/>
        <v>2008</v>
      </c>
      <c r="AP55" s="276">
        <f t="shared" si="13"/>
        <v>2014</v>
      </c>
      <c r="AQ55" s="277">
        <f t="shared" si="14"/>
        <v>2014.9166666666667</v>
      </c>
      <c r="AR55" s="278">
        <f t="shared" si="15"/>
        <v>628.85138888888889</v>
      </c>
      <c r="AS55" s="279">
        <f t="shared" si="16"/>
        <v>7546.2166666666672</v>
      </c>
      <c r="AT55" s="279">
        <f t="shared" si="17"/>
        <v>0</v>
      </c>
      <c r="AU55" s="279">
        <f t="shared" si="18"/>
        <v>45277.3</v>
      </c>
      <c r="AV55" s="279">
        <f t="shared" si="19"/>
        <v>45277.3</v>
      </c>
      <c r="AW55" s="280">
        <f t="shared" si="20"/>
        <v>0</v>
      </c>
      <c r="AX55" s="281" t="s">
        <v>77</v>
      </c>
    </row>
    <row r="56" spans="2:50">
      <c r="B56" s="157">
        <v>2149</v>
      </c>
      <c r="C56" s="158">
        <v>316378</v>
      </c>
      <c r="D56" s="157" t="s">
        <v>433</v>
      </c>
      <c r="E56" s="159" t="s">
        <v>1626</v>
      </c>
      <c r="F56" s="160" t="s">
        <v>1721</v>
      </c>
      <c r="G56" s="160"/>
      <c r="H56" s="160"/>
      <c r="I56" s="157">
        <v>1</v>
      </c>
      <c r="J56" s="159" t="s">
        <v>1722</v>
      </c>
      <c r="K56" s="157">
        <v>2001</v>
      </c>
      <c r="L56" s="159" t="s">
        <v>1686</v>
      </c>
      <c r="M56" s="159" t="s">
        <v>722</v>
      </c>
      <c r="N56" s="159" t="s">
        <v>1788</v>
      </c>
      <c r="O56" s="159" t="s">
        <v>1789</v>
      </c>
      <c r="P56" s="159" t="s">
        <v>1817</v>
      </c>
      <c r="Q56" s="159"/>
      <c r="R56" s="159"/>
      <c r="S56" s="161">
        <v>39755</v>
      </c>
      <c r="T56" s="161">
        <v>39755</v>
      </c>
      <c r="U56" s="159"/>
      <c r="V56" s="157">
        <v>300</v>
      </c>
      <c r="W56" s="157">
        <v>14040</v>
      </c>
      <c r="X56" s="162">
        <v>9000</v>
      </c>
      <c r="Y56" s="157">
        <v>14046</v>
      </c>
      <c r="Z56" s="162">
        <v>9000</v>
      </c>
      <c r="AA56" s="162">
        <v>0</v>
      </c>
      <c r="AB56" s="162">
        <v>0</v>
      </c>
      <c r="AC56" s="157">
        <v>51260</v>
      </c>
      <c r="AD56" s="162">
        <v>0</v>
      </c>
      <c r="AE56" s="157" t="s">
        <v>663</v>
      </c>
      <c r="AF56" s="159" t="s">
        <v>905</v>
      </c>
      <c r="AG56" s="159">
        <v>8870</v>
      </c>
      <c r="AH56" s="159" t="s">
        <v>2</v>
      </c>
      <c r="AI56" s="159" t="s">
        <v>1785</v>
      </c>
      <c r="AJ56" s="159" t="s">
        <v>1787</v>
      </c>
      <c r="AK56" s="159">
        <v>8870</v>
      </c>
      <c r="AL56" s="159" t="s">
        <v>1782</v>
      </c>
      <c r="AM56" s="159" t="s">
        <v>1782</v>
      </c>
      <c r="AN56" s="275">
        <f t="shared" si="11"/>
        <v>11</v>
      </c>
      <c r="AO56" s="275">
        <f t="shared" si="12"/>
        <v>2008</v>
      </c>
      <c r="AP56" s="276">
        <f t="shared" si="13"/>
        <v>2011</v>
      </c>
      <c r="AQ56" s="277">
        <f t="shared" si="14"/>
        <v>2011.9166666666667</v>
      </c>
      <c r="AR56" s="278">
        <f t="shared" si="15"/>
        <v>250</v>
      </c>
      <c r="AS56" s="279">
        <f t="shared" si="16"/>
        <v>3000</v>
      </c>
      <c r="AT56" s="279">
        <f t="shared" si="17"/>
        <v>0</v>
      </c>
      <c r="AU56" s="279">
        <f t="shared" si="18"/>
        <v>9000</v>
      </c>
      <c r="AV56" s="279">
        <f t="shared" si="19"/>
        <v>9000</v>
      </c>
      <c r="AW56" s="280">
        <f t="shared" si="20"/>
        <v>0</v>
      </c>
      <c r="AX56" s="281" t="s">
        <v>77</v>
      </c>
    </row>
    <row r="57" spans="2:50">
      <c r="B57" s="157">
        <v>2149</v>
      </c>
      <c r="C57" s="158">
        <v>316377</v>
      </c>
      <c r="D57" s="157" t="s">
        <v>433</v>
      </c>
      <c r="E57" s="159" t="s">
        <v>1626</v>
      </c>
      <c r="F57" s="160" t="s">
        <v>1723</v>
      </c>
      <c r="G57" s="160"/>
      <c r="H57" s="160"/>
      <c r="I57" s="157">
        <v>1</v>
      </c>
      <c r="J57" s="159" t="s">
        <v>1724</v>
      </c>
      <c r="K57" s="157">
        <v>1999</v>
      </c>
      <c r="L57" s="159" t="s">
        <v>1686</v>
      </c>
      <c r="M57" s="159" t="s">
        <v>722</v>
      </c>
      <c r="N57" s="159" t="s">
        <v>1788</v>
      </c>
      <c r="O57" s="159" t="s">
        <v>1789</v>
      </c>
      <c r="P57" s="159" t="s">
        <v>1817</v>
      </c>
      <c r="Q57" s="159"/>
      <c r="R57" s="159"/>
      <c r="S57" s="161">
        <v>39755</v>
      </c>
      <c r="T57" s="161">
        <v>39755</v>
      </c>
      <c r="U57" s="159"/>
      <c r="V57" s="157">
        <v>300</v>
      </c>
      <c r="W57" s="157">
        <v>14040</v>
      </c>
      <c r="X57" s="162">
        <v>7000</v>
      </c>
      <c r="Y57" s="157">
        <v>14046</v>
      </c>
      <c r="Z57" s="162">
        <v>7000</v>
      </c>
      <c r="AA57" s="162">
        <v>0</v>
      </c>
      <c r="AB57" s="162">
        <v>0</v>
      </c>
      <c r="AC57" s="157">
        <v>51260</v>
      </c>
      <c r="AD57" s="162">
        <v>0</v>
      </c>
      <c r="AE57" s="157" t="s">
        <v>663</v>
      </c>
      <c r="AF57" s="159" t="s">
        <v>905</v>
      </c>
      <c r="AG57" s="159">
        <v>8859</v>
      </c>
      <c r="AH57" s="159" t="s">
        <v>2</v>
      </c>
      <c r="AI57" s="159" t="s">
        <v>1785</v>
      </c>
      <c r="AJ57" s="159" t="s">
        <v>1787</v>
      </c>
      <c r="AK57" s="159">
        <v>8859</v>
      </c>
      <c r="AL57" s="159" t="s">
        <v>1782</v>
      </c>
      <c r="AM57" s="159" t="s">
        <v>1782</v>
      </c>
      <c r="AN57" s="275">
        <f t="shared" si="11"/>
        <v>11</v>
      </c>
      <c r="AO57" s="275">
        <f t="shared" si="12"/>
        <v>2008</v>
      </c>
      <c r="AP57" s="276">
        <f t="shared" si="13"/>
        <v>2011</v>
      </c>
      <c r="AQ57" s="277">
        <f t="shared" si="14"/>
        <v>2011.9166666666667</v>
      </c>
      <c r="AR57" s="278">
        <f t="shared" si="15"/>
        <v>194.44444444444446</v>
      </c>
      <c r="AS57" s="279">
        <f t="shared" si="16"/>
        <v>2333.3333333333335</v>
      </c>
      <c r="AT57" s="279">
        <f t="shared" si="17"/>
        <v>0</v>
      </c>
      <c r="AU57" s="279">
        <f t="shared" si="18"/>
        <v>7000</v>
      </c>
      <c r="AV57" s="279">
        <f t="shared" si="19"/>
        <v>7000</v>
      </c>
      <c r="AW57" s="280">
        <f t="shared" si="20"/>
        <v>0</v>
      </c>
      <c r="AX57" s="281" t="s">
        <v>77</v>
      </c>
    </row>
    <row r="58" spans="2:50">
      <c r="B58" s="157">
        <v>2149</v>
      </c>
      <c r="C58" s="158">
        <v>316376</v>
      </c>
      <c r="D58" s="157" t="s">
        <v>433</v>
      </c>
      <c r="E58" s="159" t="s">
        <v>1626</v>
      </c>
      <c r="F58" s="160" t="s">
        <v>1716</v>
      </c>
      <c r="G58" s="160"/>
      <c r="H58" s="160"/>
      <c r="I58" s="157">
        <v>1</v>
      </c>
      <c r="J58" s="159" t="s">
        <v>1725</v>
      </c>
      <c r="K58" s="157">
        <v>1998</v>
      </c>
      <c r="L58" s="159" t="s">
        <v>1718</v>
      </c>
      <c r="M58" s="159" t="s">
        <v>722</v>
      </c>
      <c r="N58" s="159" t="s">
        <v>1788</v>
      </c>
      <c r="O58" s="159" t="s">
        <v>1789</v>
      </c>
      <c r="P58" s="159" t="s">
        <v>1817</v>
      </c>
      <c r="Q58" s="159"/>
      <c r="R58" s="159"/>
      <c r="S58" s="161">
        <v>39755</v>
      </c>
      <c r="T58" s="161">
        <v>39755</v>
      </c>
      <c r="U58" s="159"/>
      <c r="V58" s="157">
        <v>300</v>
      </c>
      <c r="W58" s="157">
        <v>14040</v>
      </c>
      <c r="X58" s="162">
        <v>7000</v>
      </c>
      <c r="Y58" s="157">
        <v>14046</v>
      </c>
      <c r="Z58" s="162">
        <v>7000</v>
      </c>
      <c r="AA58" s="162">
        <v>0</v>
      </c>
      <c r="AB58" s="162">
        <v>0</v>
      </c>
      <c r="AC58" s="157">
        <v>51260</v>
      </c>
      <c r="AD58" s="162">
        <v>0</v>
      </c>
      <c r="AE58" s="157" t="s">
        <v>663</v>
      </c>
      <c r="AF58" s="159" t="s">
        <v>905</v>
      </c>
      <c r="AG58" s="159">
        <v>8844</v>
      </c>
      <c r="AH58" s="159" t="s">
        <v>2</v>
      </c>
      <c r="AI58" s="159" t="s">
        <v>1785</v>
      </c>
      <c r="AJ58" s="159" t="s">
        <v>1787</v>
      </c>
      <c r="AK58" s="159">
        <v>8844</v>
      </c>
      <c r="AL58" s="159" t="s">
        <v>1782</v>
      </c>
      <c r="AM58" s="159" t="s">
        <v>1782</v>
      </c>
      <c r="AN58" s="275">
        <f t="shared" si="11"/>
        <v>11</v>
      </c>
      <c r="AO58" s="275">
        <f t="shared" si="12"/>
        <v>2008</v>
      </c>
      <c r="AP58" s="276">
        <f t="shared" si="13"/>
        <v>2011</v>
      </c>
      <c r="AQ58" s="277">
        <f t="shared" si="14"/>
        <v>2011.9166666666667</v>
      </c>
      <c r="AR58" s="278">
        <f t="shared" si="15"/>
        <v>194.44444444444446</v>
      </c>
      <c r="AS58" s="279">
        <f t="shared" si="16"/>
        <v>2333.3333333333335</v>
      </c>
      <c r="AT58" s="279">
        <f t="shared" si="17"/>
        <v>0</v>
      </c>
      <c r="AU58" s="279">
        <f t="shared" si="18"/>
        <v>7000</v>
      </c>
      <c r="AV58" s="279">
        <f t="shared" si="19"/>
        <v>7000</v>
      </c>
      <c r="AW58" s="280">
        <f t="shared" si="20"/>
        <v>0</v>
      </c>
      <c r="AX58" s="281" t="s">
        <v>77</v>
      </c>
    </row>
    <row r="59" spans="2:50">
      <c r="B59" s="157">
        <v>2149</v>
      </c>
      <c r="C59" s="158">
        <v>316375</v>
      </c>
      <c r="D59" s="157" t="s">
        <v>433</v>
      </c>
      <c r="E59" s="159" t="s">
        <v>1626</v>
      </c>
      <c r="F59" s="160" t="s">
        <v>1726</v>
      </c>
      <c r="G59" s="160"/>
      <c r="H59" s="160"/>
      <c r="I59" s="157">
        <v>1</v>
      </c>
      <c r="J59" s="159" t="s">
        <v>1727</v>
      </c>
      <c r="K59" s="157">
        <v>1994</v>
      </c>
      <c r="L59" s="159" t="s">
        <v>1728</v>
      </c>
      <c r="M59" s="159" t="s">
        <v>722</v>
      </c>
      <c r="N59" s="159" t="s">
        <v>1788</v>
      </c>
      <c r="O59" s="159" t="s">
        <v>1789</v>
      </c>
      <c r="P59" s="159" t="s">
        <v>1817</v>
      </c>
      <c r="Q59" s="159"/>
      <c r="R59" s="159"/>
      <c r="S59" s="161">
        <v>39755</v>
      </c>
      <c r="T59" s="161">
        <v>39755</v>
      </c>
      <c r="U59" s="159"/>
      <c r="V59" s="157">
        <v>300</v>
      </c>
      <c r="W59" s="157">
        <v>14040</v>
      </c>
      <c r="X59" s="162">
        <v>2500</v>
      </c>
      <c r="Y59" s="157">
        <v>14046</v>
      </c>
      <c r="Z59" s="162">
        <v>2500</v>
      </c>
      <c r="AA59" s="162">
        <v>0</v>
      </c>
      <c r="AB59" s="162">
        <v>0</v>
      </c>
      <c r="AC59" s="157">
        <v>51260</v>
      </c>
      <c r="AD59" s="162">
        <v>0</v>
      </c>
      <c r="AE59" s="157" t="s">
        <v>663</v>
      </c>
      <c r="AF59" s="159" t="s">
        <v>905</v>
      </c>
      <c r="AG59" s="159">
        <v>8816</v>
      </c>
      <c r="AH59" s="159" t="s">
        <v>2</v>
      </c>
      <c r="AI59" s="159" t="s">
        <v>1785</v>
      </c>
      <c r="AJ59" s="159" t="s">
        <v>1787</v>
      </c>
      <c r="AK59" s="159">
        <v>8816</v>
      </c>
      <c r="AL59" s="159" t="s">
        <v>1782</v>
      </c>
      <c r="AM59" s="159" t="s">
        <v>1782</v>
      </c>
      <c r="AN59" s="275">
        <f t="shared" si="11"/>
        <v>11</v>
      </c>
      <c r="AO59" s="275">
        <f t="shared" si="12"/>
        <v>2008</v>
      </c>
      <c r="AP59" s="276">
        <f t="shared" si="13"/>
        <v>2011</v>
      </c>
      <c r="AQ59" s="277">
        <f t="shared" si="14"/>
        <v>2011.9166666666667</v>
      </c>
      <c r="AR59" s="278">
        <f t="shared" si="15"/>
        <v>69.444444444444443</v>
      </c>
      <c r="AS59" s="279">
        <f t="shared" si="16"/>
        <v>833.33333333333326</v>
      </c>
      <c r="AT59" s="279">
        <f t="shared" si="17"/>
        <v>0</v>
      </c>
      <c r="AU59" s="279">
        <f t="shared" si="18"/>
        <v>2500</v>
      </c>
      <c r="AV59" s="279">
        <f t="shared" si="19"/>
        <v>2500</v>
      </c>
      <c r="AW59" s="280">
        <f t="shared" si="20"/>
        <v>0</v>
      </c>
      <c r="AX59" s="281" t="s">
        <v>77</v>
      </c>
    </row>
    <row r="60" spans="2:50">
      <c r="B60" s="157">
        <v>2149</v>
      </c>
      <c r="C60" s="158">
        <v>316374</v>
      </c>
      <c r="D60" s="157" t="s">
        <v>433</v>
      </c>
      <c r="E60" s="159" t="s">
        <v>1626</v>
      </c>
      <c r="F60" s="160" t="s">
        <v>1690</v>
      </c>
      <c r="G60" s="160"/>
      <c r="H60" s="160"/>
      <c r="I60" s="157">
        <v>1</v>
      </c>
      <c r="J60" s="159" t="s">
        <v>1729</v>
      </c>
      <c r="K60" s="157">
        <v>2009</v>
      </c>
      <c r="L60" s="159" t="s">
        <v>1686</v>
      </c>
      <c r="M60" s="159" t="s">
        <v>722</v>
      </c>
      <c r="N60" s="159" t="s">
        <v>1788</v>
      </c>
      <c r="O60" s="159" t="s">
        <v>1789</v>
      </c>
      <c r="P60" s="159" t="s">
        <v>1817</v>
      </c>
      <c r="Q60" s="159"/>
      <c r="R60" s="159"/>
      <c r="S60" s="161">
        <v>39755</v>
      </c>
      <c r="T60" s="161">
        <v>39755</v>
      </c>
      <c r="U60" s="159"/>
      <c r="V60" s="157">
        <v>700</v>
      </c>
      <c r="W60" s="157">
        <v>14040</v>
      </c>
      <c r="X60" s="162">
        <v>45277.3</v>
      </c>
      <c r="Y60" s="157">
        <v>14046</v>
      </c>
      <c r="Z60" s="162">
        <v>45277.3</v>
      </c>
      <c r="AA60" s="162">
        <v>0</v>
      </c>
      <c r="AB60" s="162">
        <v>0</v>
      </c>
      <c r="AC60" s="157">
        <v>51260</v>
      </c>
      <c r="AD60" s="162">
        <v>0</v>
      </c>
      <c r="AE60" s="157" t="s">
        <v>663</v>
      </c>
      <c r="AF60" s="159" t="s">
        <v>905</v>
      </c>
      <c r="AG60" s="159">
        <v>8914</v>
      </c>
      <c r="AH60" s="159" t="s">
        <v>2</v>
      </c>
      <c r="AI60" s="159" t="s">
        <v>1785</v>
      </c>
      <c r="AJ60" s="159" t="s">
        <v>1787</v>
      </c>
      <c r="AK60" s="159">
        <v>8914</v>
      </c>
      <c r="AL60" s="159" t="s">
        <v>1782</v>
      </c>
      <c r="AM60" s="159" t="s">
        <v>1782</v>
      </c>
      <c r="AN60" s="275">
        <f t="shared" si="11"/>
        <v>11</v>
      </c>
      <c r="AO60" s="275">
        <f t="shared" si="12"/>
        <v>2008</v>
      </c>
      <c r="AP60" s="276">
        <f t="shared" si="13"/>
        <v>2015</v>
      </c>
      <c r="AQ60" s="277">
        <f t="shared" si="14"/>
        <v>2015.9166666666667</v>
      </c>
      <c r="AR60" s="278">
        <f t="shared" si="15"/>
        <v>539.01547619047619</v>
      </c>
      <c r="AS60" s="279">
        <f t="shared" si="16"/>
        <v>6468.1857142857143</v>
      </c>
      <c r="AT60" s="279">
        <f t="shared" si="17"/>
        <v>0</v>
      </c>
      <c r="AU60" s="279">
        <f t="shared" si="18"/>
        <v>45277.3</v>
      </c>
      <c r="AV60" s="279">
        <f t="shared" si="19"/>
        <v>45277.3</v>
      </c>
      <c r="AW60" s="280">
        <f t="shared" si="20"/>
        <v>0</v>
      </c>
      <c r="AX60" s="281" t="s">
        <v>77</v>
      </c>
    </row>
    <row r="61" spans="2:50">
      <c r="B61" s="157">
        <v>2149</v>
      </c>
      <c r="C61" s="158">
        <v>316373</v>
      </c>
      <c r="D61" s="157" t="s">
        <v>433</v>
      </c>
      <c r="E61" s="159" t="s">
        <v>1626</v>
      </c>
      <c r="F61" s="160" t="s">
        <v>1690</v>
      </c>
      <c r="G61" s="160"/>
      <c r="H61" s="160"/>
      <c r="I61" s="157">
        <v>1</v>
      </c>
      <c r="J61" s="159" t="s">
        <v>1730</v>
      </c>
      <c r="K61" s="157">
        <v>2009</v>
      </c>
      <c r="L61" s="159" t="s">
        <v>1686</v>
      </c>
      <c r="M61" s="159" t="s">
        <v>722</v>
      </c>
      <c r="N61" s="159" t="s">
        <v>1788</v>
      </c>
      <c r="O61" s="159" t="s">
        <v>1789</v>
      </c>
      <c r="P61" s="159" t="s">
        <v>1817</v>
      </c>
      <c r="Q61" s="159"/>
      <c r="R61" s="159"/>
      <c r="S61" s="161">
        <v>39755</v>
      </c>
      <c r="T61" s="161">
        <v>39755</v>
      </c>
      <c r="U61" s="159"/>
      <c r="V61" s="157">
        <v>700</v>
      </c>
      <c r="W61" s="157">
        <v>14040</v>
      </c>
      <c r="X61" s="162">
        <v>45277.3</v>
      </c>
      <c r="Y61" s="157">
        <v>14046</v>
      </c>
      <c r="Z61" s="162">
        <v>45277.3</v>
      </c>
      <c r="AA61" s="162">
        <v>0</v>
      </c>
      <c r="AB61" s="162">
        <v>0</v>
      </c>
      <c r="AC61" s="157">
        <v>51260</v>
      </c>
      <c r="AD61" s="162">
        <v>0</v>
      </c>
      <c r="AE61" s="157" t="s">
        <v>663</v>
      </c>
      <c r="AF61" s="159" t="s">
        <v>905</v>
      </c>
      <c r="AG61" s="159">
        <v>8913</v>
      </c>
      <c r="AH61" s="159" t="s">
        <v>2</v>
      </c>
      <c r="AI61" s="159" t="s">
        <v>1785</v>
      </c>
      <c r="AJ61" s="159" t="s">
        <v>1787</v>
      </c>
      <c r="AK61" s="159">
        <v>8913</v>
      </c>
      <c r="AL61" s="159" t="s">
        <v>1782</v>
      </c>
      <c r="AM61" s="159" t="s">
        <v>1782</v>
      </c>
      <c r="AN61" s="275">
        <f t="shared" si="11"/>
        <v>11</v>
      </c>
      <c r="AO61" s="275">
        <f t="shared" si="12"/>
        <v>2008</v>
      </c>
      <c r="AP61" s="276">
        <f t="shared" si="13"/>
        <v>2015</v>
      </c>
      <c r="AQ61" s="277">
        <f t="shared" si="14"/>
        <v>2015.9166666666667</v>
      </c>
      <c r="AR61" s="278">
        <f t="shared" si="15"/>
        <v>539.01547619047619</v>
      </c>
      <c r="AS61" s="279">
        <f t="shared" si="16"/>
        <v>6468.1857142857143</v>
      </c>
      <c r="AT61" s="279">
        <f t="shared" si="17"/>
        <v>0</v>
      </c>
      <c r="AU61" s="279">
        <f t="shared" si="18"/>
        <v>45277.3</v>
      </c>
      <c r="AV61" s="279">
        <f t="shared" si="19"/>
        <v>45277.3</v>
      </c>
      <c r="AW61" s="280">
        <f t="shared" si="20"/>
        <v>0</v>
      </c>
      <c r="AX61" s="281" t="s">
        <v>77</v>
      </c>
    </row>
    <row r="62" spans="2:50">
      <c r="B62" s="157">
        <v>2149</v>
      </c>
      <c r="C62" s="158">
        <v>316372</v>
      </c>
      <c r="D62" s="157" t="s">
        <v>433</v>
      </c>
      <c r="E62" s="159" t="s">
        <v>1626</v>
      </c>
      <c r="F62" s="160" t="s">
        <v>1731</v>
      </c>
      <c r="G62" s="160"/>
      <c r="H62" s="160"/>
      <c r="I62" s="157">
        <v>1</v>
      </c>
      <c r="J62" s="159" t="s">
        <v>1732</v>
      </c>
      <c r="K62" s="157">
        <v>2000</v>
      </c>
      <c r="L62" s="159" t="s">
        <v>1686</v>
      </c>
      <c r="M62" s="159" t="s">
        <v>722</v>
      </c>
      <c r="N62" s="159" t="s">
        <v>1788</v>
      </c>
      <c r="O62" s="159" t="s">
        <v>1789</v>
      </c>
      <c r="P62" s="159" t="s">
        <v>1817</v>
      </c>
      <c r="Q62" s="159"/>
      <c r="R62" s="159"/>
      <c r="S62" s="161">
        <v>39755</v>
      </c>
      <c r="T62" s="161">
        <v>39755</v>
      </c>
      <c r="U62" s="159"/>
      <c r="V62" s="157">
        <v>300</v>
      </c>
      <c r="W62" s="157">
        <v>14040</v>
      </c>
      <c r="X62" s="162">
        <v>8000</v>
      </c>
      <c r="Y62" s="157">
        <v>14046</v>
      </c>
      <c r="Z62" s="162">
        <v>8000</v>
      </c>
      <c r="AA62" s="162">
        <v>0</v>
      </c>
      <c r="AB62" s="162">
        <v>0</v>
      </c>
      <c r="AC62" s="157">
        <v>51260</v>
      </c>
      <c r="AD62" s="162">
        <v>0</v>
      </c>
      <c r="AE62" s="157" t="s">
        <v>663</v>
      </c>
      <c r="AF62" s="159" t="s">
        <v>905</v>
      </c>
      <c r="AG62" s="159">
        <v>8869</v>
      </c>
      <c r="AH62" s="159" t="s">
        <v>2</v>
      </c>
      <c r="AI62" s="159" t="s">
        <v>1785</v>
      </c>
      <c r="AJ62" s="159" t="s">
        <v>1787</v>
      </c>
      <c r="AK62" s="159">
        <v>8869</v>
      </c>
      <c r="AL62" s="159" t="s">
        <v>1782</v>
      </c>
      <c r="AM62" s="159" t="s">
        <v>1782</v>
      </c>
      <c r="AN62" s="275">
        <f t="shared" si="11"/>
        <v>11</v>
      </c>
      <c r="AO62" s="275">
        <f t="shared" si="12"/>
        <v>2008</v>
      </c>
      <c r="AP62" s="276">
        <f t="shared" si="13"/>
        <v>2011</v>
      </c>
      <c r="AQ62" s="277">
        <f t="shared" si="14"/>
        <v>2011.9166666666667</v>
      </c>
      <c r="AR62" s="278">
        <f t="shared" si="15"/>
        <v>222.2222222222222</v>
      </c>
      <c r="AS62" s="279">
        <f t="shared" si="16"/>
        <v>2666.6666666666665</v>
      </c>
      <c r="AT62" s="279">
        <f t="shared" si="17"/>
        <v>0</v>
      </c>
      <c r="AU62" s="279">
        <f t="shared" si="18"/>
        <v>8000</v>
      </c>
      <c r="AV62" s="279">
        <f t="shared" si="19"/>
        <v>8000</v>
      </c>
      <c r="AW62" s="280">
        <f t="shared" si="20"/>
        <v>0</v>
      </c>
      <c r="AX62" s="281" t="s">
        <v>77</v>
      </c>
    </row>
    <row r="63" spans="2:50">
      <c r="B63" s="157">
        <v>2149</v>
      </c>
      <c r="C63" s="158">
        <v>316371</v>
      </c>
      <c r="D63" s="157" t="s">
        <v>433</v>
      </c>
      <c r="E63" s="159" t="s">
        <v>1626</v>
      </c>
      <c r="F63" s="160" t="s">
        <v>1723</v>
      </c>
      <c r="G63" s="160"/>
      <c r="H63" s="160"/>
      <c r="I63" s="157">
        <v>1</v>
      </c>
      <c r="J63" s="159" t="s">
        <v>1733</v>
      </c>
      <c r="K63" s="157">
        <v>1999</v>
      </c>
      <c r="L63" s="159" t="s">
        <v>1686</v>
      </c>
      <c r="M63" s="159" t="s">
        <v>722</v>
      </c>
      <c r="N63" s="159" t="s">
        <v>1788</v>
      </c>
      <c r="O63" s="159" t="s">
        <v>1789</v>
      </c>
      <c r="P63" s="159" t="s">
        <v>1817</v>
      </c>
      <c r="Q63" s="159"/>
      <c r="R63" s="159"/>
      <c r="S63" s="161">
        <v>39755</v>
      </c>
      <c r="T63" s="161">
        <v>39755</v>
      </c>
      <c r="U63" s="159"/>
      <c r="V63" s="157">
        <v>300</v>
      </c>
      <c r="W63" s="157">
        <v>14040</v>
      </c>
      <c r="X63" s="162">
        <v>7000</v>
      </c>
      <c r="Y63" s="157">
        <v>14046</v>
      </c>
      <c r="Z63" s="162">
        <v>7000</v>
      </c>
      <c r="AA63" s="162">
        <v>0</v>
      </c>
      <c r="AB63" s="162">
        <v>0</v>
      </c>
      <c r="AC63" s="157">
        <v>51260</v>
      </c>
      <c r="AD63" s="162">
        <v>0</v>
      </c>
      <c r="AE63" s="157" t="s">
        <v>663</v>
      </c>
      <c r="AF63" s="159" t="s">
        <v>905</v>
      </c>
      <c r="AG63" s="159">
        <v>8865</v>
      </c>
      <c r="AH63" s="159" t="s">
        <v>2</v>
      </c>
      <c r="AI63" s="159" t="s">
        <v>1785</v>
      </c>
      <c r="AJ63" s="159" t="s">
        <v>1787</v>
      </c>
      <c r="AK63" s="159">
        <v>8865</v>
      </c>
      <c r="AL63" s="159" t="s">
        <v>1782</v>
      </c>
      <c r="AM63" s="159" t="s">
        <v>1782</v>
      </c>
      <c r="AN63" s="275">
        <f t="shared" si="11"/>
        <v>11</v>
      </c>
      <c r="AO63" s="275">
        <f t="shared" si="12"/>
        <v>2008</v>
      </c>
      <c r="AP63" s="276">
        <f t="shared" si="13"/>
        <v>2011</v>
      </c>
      <c r="AQ63" s="277">
        <f t="shared" si="14"/>
        <v>2011.9166666666667</v>
      </c>
      <c r="AR63" s="278">
        <f t="shared" si="15"/>
        <v>194.44444444444446</v>
      </c>
      <c r="AS63" s="279">
        <f t="shared" si="16"/>
        <v>2333.3333333333335</v>
      </c>
      <c r="AT63" s="279">
        <f t="shared" si="17"/>
        <v>0</v>
      </c>
      <c r="AU63" s="279">
        <f t="shared" si="18"/>
        <v>7000</v>
      </c>
      <c r="AV63" s="279">
        <f t="shared" si="19"/>
        <v>7000</v>
      </c>
      <c r="AW63" s="280">
        <f t="shared" si="20"/>
        <v>0</v>
      </c>
      <c r="AX63" s="281" t="s">
        <v>77</v>
      </c>
    </row>
    <row r="64" spans="2:50">
      <c r="B64" s="157">
        <v>2149</v>
      </c>
      <c r="C64" s="158">
        <v>316370</v>
      </c>
      <c r="D64" s="157" t="s">
        <v>433</v>
      </c>
      <c r="E64" s="159" t="s">
        <v>1626</v>
      </c>
      <c r="F64" s="160" t="s">
        <v>1723</v>
      </c>
      <c r="G64" s="160"/>
      <c r="H64" s="160"/>
      <c r="I64" s="157">
        <v>1</v>
      </c>
      <c r="J64" s="159" t="s">
        <v>1734</v>
      </c>
      <c r="K64" s="157">
        <v>1999</v>
      </c>
      <c r="L64" s="159" t="s">
        <v>1686</v>
      </c>
      <c r="M64" s="159" t="s">
        <v>722</v>
      </c>
      <c r="N64" s="159" t="s">
        <v>1788</v>
      </c>
      <c r="O64" s="159" t="s">
        <v>1789</v>
      </c>
      <c r="P64" s="159" t="s">
        <v>1817</v>
      </c>
      <c r="Q64" s="159"/>
      <c r="R64" s="159"/>
      <c r="S64" s="161">
        <v>39755</v>
      </c>
      <c r="T64" s="161">
        <v>39755</v>
      </c>
      <c r="U64" s="159"/>
      <c r="V64" s="157">
        <v>300</v>
      </c>
      <c r="W64" s="157">
        <v>14040</v>
      </c>
      <c r="X64" s="162">
        <v>7000</v>
      </c>
      <c r="Y64" s="157">
        <v>14046</v>
      </c>
      <c r="Z64" s="162">
        <v>7000</v>
      </c>
      <c r="AA64" s="162">
        <v>0</v>
      </c>
      <c r="AB64" s="162">
        <v>0</v>
      </c>
      <c r="AC64" s="157">
        <v>51260</v>
      </c>
      <c r="AD64" s="162">
        <v>0</v>
      </c>
      <c r="AE64" s="157" t="s">
        <v>663</v>
      </c>
      <c r="AF64" s="159" t="s">
        <v>905</v>
      </c>
      <c r="AG64" s="159">
        <v>8858</v>
      </c>
      <c r="AH64" s="159" t="s">
        <v>2</v>
      </c>
      <c r="AI64" s="159" t="s">
        <v>1785</v>
      </c>
      <c r="AJ64" s="159" t="s">
        <v>1787</v>
      </c>
      <c r="AK64" s="159">
        <v>8858</v>
      </c>
      <c r="AL64" s="159" t="s">
        <v>1782</v>
      </c>
      <c r="AM64" s="159" t="s">
        <v>1782</v>
      </c>
      <c r="AN64" s="275">
        <f t="shared" si="11"/>
        <v>11</v>
      </c>
      <c r="AO64" s="275">
        <f t="shared" si="12"/>
        <v>2008</v>
      </c>
      <c r="AP64" s="276">
        <f t="shared" si="13"/>
        <v>2011</v>
      </c>
      <c r="AQ64" s="277">
        <f t="shared" si="14"/>
        <v>2011.9166666666667</v>
      </c>
      <c r="AR64" s="278">
        <f t="shared" si="15"/>
        <v>194.44444444444446</v>
      </c>
      <c r="AS64" s="279">
        <f t="shared" si="16"/>
        <v>2333.3333333333335</v>
      </c>
      <c r="AT64" s="279">
        <f t="shared" si="17"/>
        <v>0</v>
      </c>
      <c r="AU64" s="279">
        <f t="shared" si="18"/>
        <v>7000</v>
      </c>
      <c r="AV64" s="279">
        <f t="shared" si="19"/>
        <v>7000</v>
      </c>
      <c r="AW64" s="280">
        <f t="shared" si="20"/>
        <v>0</v>
      </c>
      <c r="AX64" s="281" t="s">
        <v>77</v>
      </c>
    </row>
    <row r="65" spans="2:50">
      <c r="B65" s="157">
        <v>2149</v>
      </c>
      <c r="C65" s="158">
        <v>316369</v>
      </c>
      <c r="D65" s="157" t="s">
        <v>433</v>
      </c>
      <c r="E65" s="159" t="s">
        <v>1626</v>
      </c>
      <c r="F65" s="160" t="s">
        <v>1716</v>
      </c>
      <c r="G65" s="160"/>
      <c r="H65" s="160"/>
      <c r="I65" s="157">
        <v>1</v>
      </c>
      <c r="J65" s="159" t="s">
        <v>1735</v>
      </c>
      <c r="K65" s="157">
        <v>1998</v>
      </c>
      <c r="L65" s="159" t="s">
        <v>1736</v>
      </c>
      <c r="M65" s="159" t="s">
        <v>722</v>
      </c>
      <c r="N65" s="159" t="s">
        <v>1788</v>
      </c>
      <c r="O65" s="159" t="s">
        <v>1789</v>
      </c>
      <c r="P65" s="159" t="s">
        <v>1817</v>
      </c>
      <c r="Q65" s="159"/>
      <c r="R65" s="159"/>
      <c r="S65" s="161">
        <v>39755</v>
      </c>
      <c r="T65" s="161">
        <v>39755</v>
      </c>
      <c r="U65" s="159"/>
      <c r="V65" s="157">
        <v>300</v>
      </c>
      <c r="W65" s="157">
        <v>14040</v>
      </c>
      <c r="X65" s="162">
        <v>7000</v>
      </c>
      <c r="Y65" s="157">
        <v>14046</v>
      </c>
      <c r="Z65" s="162">
        <v>7000</v>
      </c>
      <c r="AA65" s="162">
        <v>0</v>
      </c>
      <c r="AB65" s="162">
        <v>0</v>
      </c>
      <c r="AC65" s="157">
        <v>51260</v>
      </c>
      <c r="AD65" s="162">
        <v>0</v>
      </c>
      <c r="AE65" s="157" t="s">
        <v>663</v>
      </c>
      <c r="AF65" s="159" t="s">
        <v>905</v>
      </c>
      <c r="AG65" s="159">
        <v>8848</v>
      </c>
      <c r="AH65" s="159" t="s">
        <v>2</v>
      </c>
      <c r="AI65" s="159" t="s">
        <v>1785</v>
      </c>
      <c r="AJ65" s="159" t="s">
        <v>1787</v>
      </c>
      <c r="AK65" s="159">
        <v>8848</v>
      </c>
      <c r="AL65" s="159" t="s">
        <v>1782</v>
      </c>
      <c r="AM65" s="159" t="s">
        <v>1782</v>
      </c>
      <c r="AN65" s="275">
        <f t="shared" si="11"/>
        <v>11</v>
      </c>
      <c r="AO65" s="275">
        <f t="shared" si="12"/>
        <v>2008</v>
      </c>
      <c r="AP65" s="276">
        <f t="shared" si="13"/>
        <v>2011</v>
      </c>
      <c r="AQ65" s="277">
        <f t="shared" si="14"/>
        <v>2011.9166666666667</v>
      </c>
      <c r="AR65" s="278">
        <f t="shared" si="15"/>
        <v>194.44444444444446</v>
      </c>
      <c r="AS65" s="279">
        <f t="shared" si="16"/>
        <v>2333.3333333333335</v>
      </c>
      <c r="AT65" s="279">
        <f t="shared" si="17"/>
        <v>0</v>
      </c>
      <c r="AU65" s="279">
        <f t="shared" si="18"/>
        <v>7000</v>
      </c>
      <c r="AV65" s="279">
        <f t="shared" si="19"/>
        <v>7000</v>
      </c>
      <c r="AW65" s="280">
        <f t="shared" si="20"/>
        <v>0</v>
      </c>
      <c r="AX65" s="281" t="s">
        <v>77</v>
      </c>
    </row>
    <row r="66" spans="2:50">
      <c r="B66" s="157">
        <v>2149</v>
      </c>
      <c r="C66" s="158">
        <v>316368</v>
      </c>
      <c r="D66" s="157" t="s">
        <v>433</v>
      </c>
      <c r="E66" s="159" t="s">
        <v>1626</v>
      </c>
      <c r="F66" s="160" t="s">
        <v>1716</v>
      </c>
      <c r="G66" s="160"/>
      <c r="H66" s="160"/>
      <c r="I66" s="157">
        <v>1</v>
      </c>
      <c r="J66" s="159" t="s">
        <v>1737</v>
      </c>
      <c r="K66" s="157">
        <v>1998</v>
      </c>
      <c r="L66" s="159" t="s">
        <v>1738</v>
      </c>
      <c r="M66" s="159" t="s">
        <v>722</v>
      </c>
      <c r="N66" s="159" t="s">
        <v>1788</v>
      </c>
      <c r="O66" s="159" t="s">
        <v>1789</v>
      </c>
      <c r="P66" s="159" t="s">
        <v>1817</v>
      </c>
      <c r="Q66" s="159"/>
      <c r="R66" s="159"/>
      <c r="S66" s="161">
        <v>39755</v>
      </c>
      <c r="T66" s="161">
        <v>39755</v>
      </c>
      <c r="U66" s="159"/>
      <c r="V66" s="157">
        <v>300</v>
      </c>
      <c r="W66" s="157">
        <v>14040</v>
      </c>
      <c r="X66" s="162">
        <v>7000</v>
      </c>
      <c r="Y66" s="157">
        <v>14046</v>
      </c>
      <c r="Z66" s="162">
        <v>7000</v>
      </c>
      <c r="AA66" s="162">
        <v>0</v>
      </c>
      <c r="AB66" s="162">
        <v>0</v>
      </c>
      <c r="AC66" s="157">
        <v>51260</v>
      </c>
      <c r="AD66" s="162">
        <v>0</v>
      </c>
      <c r="AE66" s="157" t="s">
        <v>663</v>
      </c>
      <c r="AF66" s="159" t="s">
        <v>905</v>
      </c>
      <c r="AG66" s="159">
        <v>8845</v>
      </c>
      <c r="AH66" s="159" t="s">
        <v>2</v>
      </c>
      <c r="AI66" s="159" t="s">
        <v>1785</v>
      </c>
      <c r="AJ66" s="159" t="s">
        <v>1787</v>
      </c>
      <c r="AK66" s="159">
        <v>8845</v>
      </c>
      <c r="AL66" s="159" t="s">
        <v>1782</v>
      </c>
      <c r="AM66" s="159" t="s">
        <v>1782</v>
      </c>
      <c r="AN66" s="275">
        <f t="shared" si="11"/>
        <v>11</v>
      </c>
      <c r="AO66" s="275">
        <f t="shared" si="12"/>
        <v>2008</v>
      </c>
      <c r="AP66" s="276">
        <f t="shared" si="13"/>
        <v>2011</v>
      </c>
      <c r="AQ66" s="277">
        <f t="shared" si="14"/>
        <v>2011.9166666666667</v>
      </c>
      <c r="AR66" s="278">
        <f t="shared" si="15"/>
        <v>194.44444444444446</v>
      </c>
      <c r="AS66" s="279">
        <f t="shared" si="16"/>
        <v>2333.3333333333335</v>
      </c>
      <c r="AT66" s="279">
        <f t="shared" si="17"/>
        <v>0</v>
      </c>
      <c r="AU66" s="279">
        <f t="shared" si="18"/>
        <v>7000</v>
      </c>
      <c r="AV66" s="279">
        <f t="shared" si="19"/>
        <v>7000</v>
      </c>
      <c r="AW66" s="280">
        <f t="shared" si="20"/>
        <v>0</v>
      </c>
      <c r="AX66" s="281" t="s">
        <v>77</v>
      </c>
    </row>
    <row r="67" spans="2:50">
      <c r="B67" s="157">
        <v>2149</v>
      </c>
      <c r="C67" s="158">
        <v>316367</v>
      </c>
      <c r="D67" s="157" t="s">
        <v>433</v>
      </c>
      <c r="E67" s="159" t="s">
        <v>1626</v>
      </c>
      <c r="F67" s="160" t="s">
        <v>1726</v>
      </c>
      <c r="G67" s="160"/>
      <c r="H67" s="160"/>
      <c r="I67" s="157">
        <v>1</v>
      </c>
      <c r="J67" s="159" t="s">
        <v>1739</v>
      </c>
      <c r="K67" s="157">
        <v>1994</v>
      </c>
      <c r="L67" s="159" t="s">
        <v>1740</v>
      </c>
      <c r="M67" s="159" t="s">
        <v>722</v>
      </c>
      <c r="N67" s="159" t="s">
        <v>1788</v>
      </c>
      <c r="O67" s="159" t="s">
        <v>1789</v>
      </c>
      <c r="P67" s="159" t="s">
        <v>1817</v>
      </c>
      <c r="Q67" s="159"/>
      <c r="R67" s="159"/>
      <c r="S67" s="161">
        <v>39755</v>
      </c>
      <c r="T67" s="161">
        <v>39755</v>
      </c>
      <c r="U67" s="159"/>
      <c r="V67" s="157">
        <v>300</v>
      </c>
      <c r="W67" s="157">
        <v>14040</v>
      </c>
      <c r="X67" s="162">
        <v>2500</v>
      </c>
      <c r="Y67" s="157">
        <v>14046</v>
      </c>
      <c r="Z67" s="162">
        <v>2500</v>
      </c>
      <c r="AA67" s="162">
        <v>0</v>
      </c>
      <c r="AB67" s="162">
        <v>0</v>
      </c>
      <c r="AC67" s="157">
        <v>51260</v>
      </c>
      <c r="AD67" s="162">
        <v>0</v>
      </c>
      <c r="AE67" s="157" t="s">
        <v>663</v>
      </c>
      <c r="AF67" s="159" t="s">
        <v>905</v>
      </c>
      <c r="AG67" s="159">
        <v>8825</v>
      </c>
      <c r="AH67" s="159" t="s">
        <v>2</v>
      </c>
      <c r="AI67" s="159" t="s">
        <v>1785</v>
      </c>
      <c r="AJ67" s="159" t="s">
        <v>1787</v>
      </c>
      <c r="AK67" s="159">
        <v>8825</v>
      </c>
      <c r="AL67" s="159" t="s">
        <v>1782</v>
      </c>
      <c r="AM67" s="159" t="s">
        <v>1782</v>
      </c>
      <c r="AN67" s="275">
        <f t="shared" si="11"/>
        <v>11</v>
      </c>
      <c r="AO67" s="275">
        <f t="shared" si="12"/>
        <v>2008</v>
      </c>
      <c r="AP67" s="276">
        <f t="shared" si="13"/>
        <v>2011</v>
      </c>
      <c r="AQ67" s="277">
        <f t="shared" si="14"/>
        <v>2011.9166666666667</v>
      </c>
      <c r="AR67" s="278">
        <f t="shared" si="15"/>
        <v>69.444444444444443</v>
      </c>
      <c r="AS67" s="279">
        <f t="shared" si="16"/>
        <v>833.33333333333326</v>
      </c>
      <c r="AT67" s="279">
        <f t="shared" si="17"/>
        <v>0</v>
      </c>
      <c r="AU67" s="279">
        <f t="shared" si="18"/>
        <v>2500</v>
      </c>
      <c r="AV67" s="279">
        <f t="shared" si="19"/>
        <v>2500</v>
      </c>
      <c r="AW67" s="280">
        <f t="shared" si="20"/>
        <v>0</v>
      </c>
      <c r="AX67" s="281" t="s">
        <v>77</v>
      </c>
    </row>
    <row r="68" spans="2:50">
      <c r="B68" s="157">
        <v>2149</v>
      </c>
      <c r="C68" s="158">
        <v>316366</v>
      </c>
      <c r="D68" s="157">
        <v>316365</v>
      </c>
      <c r="E68" s="159" t="s">
        <v>1626</v>
      </c>
      <c r="F68" s="160" t="s">
        <v>1741</v>
      </c>
      <c r="G68" s="160"/>
      <c r="H68" s="160"/>
      <c r="I68" s="157">
        <v>1</v>
      </c>
      <c r="J68" s="159" t="s">
        <v>1742</v>
      </c>
      <c r="K68" s="157">
        <v>2005</v>
      </c>
      <c r="L68" s="159"/>
      <c r="M68" s="159"/>
      <c r="N68" s="159" t="s">
        <v>1788</v>
      </c>
      <c r="O68" s="159" t="s">
        <v>1789</v>
      </c>
      <c r="P68" s="159" t="s">
        <v>683</v>
      </c>
      <c r="Q68" s="159"/>
      <c r="R68" s="159"/>
      <c r="S68" s="161">
        <v>38188</v>
      </c>
      <c r="T68" s="161">
        <v>38188</v>
      </c>
      <c r="U68" s="159">
        <v>42150001</v>
      </c>
      <c r="V68" s="157">
        <v>1000</v>
      </c>
      <c r="W68" s="157">
        <v>14040</v>
      </c>
      <c r="X68" s="162">
        <v>8595.5499999999993</v>
      </c>
      <c r="Y68" s="157">
        <v>14046</v>
      </c>
      <c r="Z68" s="162">
        <v>8595.5499999999993</v>
      </c>
      <c r="AA68" s="162">
        <v>0</v>
      </c>
      <c r="AB68" s="162">
        <v>0</v>
      </c>
      <c r="AC68" s="157">
        <v>51260</v>
      </c>
      <c r="AD68" s="162">
        <v>0</v>
      </c>
      <c r="AE68" s="157" t="s">
        <v>433</v>
      </c>
      <c r="AF68" s="159">
        <v>0</v>
      </c>
      <c r="AG68" s="159" t="s">
        <v>1743</v>
      </c>
      <c r="AH68" s="159" t="s">
        <v>2</v>
      </c>
      <c r="AI68" s="159" t="s">
        <v>1785</v>
      </c>
      <c r="AJ68" s="159" t="s">
        <v>1787</v>
      </c>
      <c r="AK68" s="159" t="s">
        <v>1747</v>
      </c>
      <c r="AL68" s="159" t="s">
        <v>583</v>
      </c>
      <c r="AM68" s="159" t="s">
        <v>583</v>
      </c>
      <c r="AN68" s="275">
        <f t="shared" si="11"/>
        <v>7</v>
      </c>
      <c r="AO68" s="275">
        <f t="shared" si="12"/>
        <v>2004</v>
      </c>
      <c r="AP68" s="276">
        <f t="shared" si="13"/>
        <v>2014</v>
      </c>
      <c r="AQ68" s="277">
        <f t="shared" si="14"/>
        <v>2014.5833333333333</v>
      </c>
      <c r="AR68" s="278">
        <f t="shared" si="15"/>
        <v>71.629583333333329</v>
      </c>
      <c r="AS68" s="279">
        <f t="shared" si="16"/>
        <v>859.55499999999995</v>
      </c>
      <c r="AT68" s="279">
        <f t="shared" si="17"/>
        <v>0</v>
      </c>
      <c r="AU68" s="279">
        <f t="shared" si="18"/>
        <v>8595.5499999999993</v>
      </c>
      <c r="AV68" s="279">
        <f t="shared" si="19"/>
        <v>8595.5499999999993</v>
      </c>
      <c r="AW68" s="280">
        <f t="shared" si="20"/>
        <v>0</v>
      </c>
      <c r="AX68" s="281" t="s">
        <v>77</v>
      </c>
    </row>
    <row r="69" spans="2:50">
      <c r="B69" s="157">
        <v>2149</v>
      </c>
      <c r="C69" s="158">
        <v>316365</v>
      </c>
      <c r="D69" s="157" t="s">
        <v>433</v>
      </c>
      <c r="E69" s="159" t="s">
        <v>1626</v>
      </c>
      <c r="F69" s="160" t="s">
        <v>1744</v>
      </c>
      <c r="G69" s="160"/>
      <c r="H69" s="160"/>
      <c r="I69" s="157">
        <v>1</v>
      </c>
      <c r="J69" s="159" t="s">
        <v>1745</v>
      </c>
      <c r="K69" s="157">
        <v>2005</v>
      </c>
      <c r="L69" s="159" t="s">
        <v>1746</v>
      </c>
      <c r="M69" s="159" t="s">
        <v>685</v>
      </c>
      <c r="N69" s="159" t="s">
        <v>1788</v>
      </c>
      <c r="O69" s="159" t="s">
        <v>1789</v>
      </c>
      <c r="P69" s="159" t="s">
        <v>875</v>
      </c>
      <c r="Q69" s="159"/>
      <c r="R69" s="159"/>
      <c r="S69" s="161">
        <v>38139</v>
      </c>
      <c r="T69" s="161">
        <v>38139</v>
      </c>
      <c r="U69" s="159">
        <v>42150001</v>
      </c>
      <c r="V69" s="157">
        <v>1000</v>
      </c>
      <c r="W69" s="157">
        <v>14040</v>
      </c>
      <c r="X69" s="162">
        <v>58641.25</v>
      </c>
      <c r="Y69" s="157">
        <v>14046</v>
      </c>
      <c r="Z69" s="162">
        <v>58641.25</v>
      </c>
      <c r="AA69" s="162">
        <v>0</v>
      </c>
      <c r="AB69" s="162">
        <v>0</v>
      </c>
      <c r="AC69" s="157">
        <v>51260</v>
      </c>
      <c r="AD69" s="162">
        <v>0</v>
      </c>
      <c r="AE69" s="157" t="s">
        <v>433</v>
      </c>
      <c r="AF69" s="159">
        <v>0</v>
      </c>
      <c r="AG69" s="159" t="s">
        <v>1747</v>
      </c>
      <c r="AH69" s="159" t="s">
        <v>2</v>
      </c>
      <c r="AI69" s="159" t="s">
        <v>1785</v>
      </c>
      <c r="AJ69" s="159" t="s">
        <v>1787</v>
      </c>
      <c r="AK69" s="159" t="s">
        <v>1747</v>
      </c>
      <c r="AL69" s="159" t="s">
        <v>583</v>
      </c>
      <c r="AM69" s="159" t="s">
        <v>583</v>
      </c>
      <c r="AN69" s="275">
        <f t="shared" si="11"/>
        <v>6</v>
      </c>
      <c r="AO69" s="275">
        <f t="shared" si="12"/>
        <v>2004</v>
      </c>
      <c r="AP69" s="276">
        <f t="shared" si="13"/>
        <v>2014</v>
      </c>
      <c r="AQ69" s="277">
        <f t="shared" si="14"/>
        <v>2014.5</v>
      </c>
      <c r="AR69" s="278">
        <f t="shared" si="15"/>
        <v>488.67708333333331</v>
      </c>
      <c r="AS69" s="279">
        <f t="shared" si="16"/>
        <v>5864.125</v>
      </c>
      <c r="AT69" s="279">
        <f t="shared" si="17"/>
        <v>0</v>
      </c>
      <c r="AU69" s="279">
        <f t="shared" si="18"/>
        <v>58641.25</v>
      </c>
      <c r="AV69" s="279">
        <f t="shared" si="19"/>
        <v>58641.25</v>
      </c>
      <c r="AW69" s="280">
        <f t="shared" si="20"/>
        <v>0</v>
      </c>
      <c r="AX69" s="281" t="s">
        <v>77</v>
      </c>
    </row>
    <row r="70" spans="2:50">
      <c r="B70" s="157">
        <v>2149</v>
      </c>
      <c r="C70" s="158">
        <v>315530</v>
      </c>
      <c r="D70" s="157" t="s">
        <v>433</v>
      </c>
      <c r="E70" s="159" t="s">
        <v>1626</v>
      </c>
      <c r="F70" s="160" t="s">
        <v>1748</v>
      </c>
      <c r="G70" s="160"/>
      <c r="H70" s="160"/>
      <c r="I70" s="157">
        <v>1</v>
      </c>
      <c r="J70" s="159" t="s">
        <v>1682</v>
      </c>
      <c r="K70" s="157">
        <v>2023</v>
      </c>
      <c r="L70" s="159"/>
      <c r="M70" s="159"/>
      <c r="N70" s="159" t="s">
        <v>1788</v>
      </c>
      <c r="O70" s="159" t="s">
        <v>1789</v>
      </c>
      <c r="P70" s="159" t="s">
        <v>1802</v>
      </c>
      <c r="Q70" s="159"/>
      <c r="R70" s="159"/>
      <c r="S70" s="161">
        <v>45211</v>
      </c>
      <c r="T70" s="161">
        <v>45211</v>
      </c>
      <c r="U70" s="159" t="s">
        <v>1683</v>
      </c>
      <c r="V70" s="157">
        <v>1000</v>
      </c>
      <c r="W70" s="157">
        <v>14040</v>
      </c>
      <c r="X70" s="162">
        <v>232903.37</v>
      </c>
      <c r="Y70" s="157">
        <v>14046</v>
      </c>
      <c r="Z70" s="162">
        <v>13586.03</v>
      </c>
      <c r="AA70" s="162">
        <v>219317.34</v>
      </c>
      <c r="AB70" s="162">
        <v>7763.44</v>
      </c>
      <c r="AC70" s="157">
        <v>51260</v>
      </c>
      <c r="AD70" s="162">
        <v>1940.86</v>
      </c>
      <c r="AE70" s="157" t="s">
        <v>433</v>
      </c>
      <c r="AF70" s="159"/>
      <c r="AG70" s="159"/>
      <c r="AH70" s="159" t="s">
        <v>2</v>
      </c>
      <c r="AI70" s="159" t="s">
        <v>1785</v>
      </c>
      <c r="AJ70" s="159" t="s">
        <v>1787</v>
      </c>
      <c r="AK70" s="159">
        <v>0</v>
      </c>
      <c r="AL70" s="159" t="s">
        <v>1567</v>
      </c>
      <c r="AM70" s="159" t="s">
        <v>1567</v>
      </c>
      <c r="AN70" s="275">
        <f t="shared" si="11"/>
        <v>10</v>
      </c>
      <c r="AO70" s="275">
        <f t="shared" si="12"/>
        <v>2023</v>
      </c>
      <c r="AP70" s="276">
        <f t="shared" si="13"/>
        <v>2033</v>
      </c>
      <c r="AQ70" s="277">
        <f t="shared" si="14"/>
        <v>2033.8333333333333</v>
      </c>
      <c r="AR70" s="278">
        <f t="shared" si="15"/>
        <v>1940.8614166666666</v>
      </c>
      <c r="AS70" s="279">
        <f t="shared" si="16"/>
        <v>23290.337</v>
      </c>
      <c r="AT70" s="279">
        <f t="shared" si="17"/>
        <v>23290.337</v>
      </c>
      <c r="AU70" s="279">
        <f t="shared" si="18"/>
        <v>0</v>
      </c>
      <c r="AV70" s="279">
        <f t="shared" si="19"/>
        <v>23290.337</v>
      </c>
      <c r="AW70" s="280">
        <f t="shared" si="20"/>
        <v>209613.033</v>
      </c>
      <c r="AX70" s="281" t="s">
        <v>77</v>
      </c>
    </row>
    <row r="71" spans="2:50">
      <c r="B71" s="157">
        <v>2149</v>
      </c>
      <c r="C71" s="158">
        <v>313966</v>
      </c>
      <c r="D71" s="157">
        <v>313965</v>
      </c>
      <c r="E71" s="159" t="s">
        <v>1626</v>
      </c>
      <c r="F71" s="160" t="s">
        <v>1749</v>
      </c>
      <c r="G71" s="160"/>
      <c r="H71" s="160"/>
      <c r="I71" s="157">
        <v>1</v>
      </c>
      <c r="J71" s="159"/>
      <c r="K71" s="157">
        <v>0</v>
      </c>
      <c r="L71" s="159" t="s">
        <v>1750</v>
      </c>
      <c r="M71" s="159"/>
      <c r="N71" s="159" t="s">
        <v>1798</v>
      </c>
      <c r="O71" s="159" t="s">
        <v>1789</v>
      </c>
      <c r="P71" s="159"/>
      <c r="Q71" s="159"/>
      <c r="R71" s="159"/>
      <c r="S71" s="161">
        <v>45162</v>
      </c>
      <c r="T71" s="161">
        <v>45162</v>
      </c>
      <c r="U71" s="159" t="s">
        <v>1751</v>
      </c>
      <c r="V71" s="157">
        <v>300</v>
      </c>
      <c r="W71" s="157">
        <v>14110</v>
      </c>
      <c r="X71" s="162">
        <v>222.7</v>
      </c>
      <c r="Y71" s="157">
        <v>14116</v>
      </c>
      <c r="Z71" s="162">
        <v>49.51</v>
      </c>
      <c r="AA71" s="162">
        <v>173.19</v>
      </c>
      <c r="AB71" s="162">
        <v>24.76</v>
      </c>
      <c r="AC71" s="157">
        <v>70260</v>
      </c>
      <c r="AD71" s="162">
        <v>6.19</v>
      </c>
      <c r="AE71" s="157" t="s">
        <v>433</v>
      </c>
      <c r="AF71" s="159"/>
      <c r="AG71" s="159"/>
      <c r="AH71" s="159" t="s">
        <v>2</v>
      </c>
      <c r="AI71" s="159" t="s">
        <v>1785</v>
      </c>
      <c r="AJ71" s="159" t="s">
        <v>1787</v>
      </c>
      <c r="AK71" s="159">
        <v>0</v>
      </c>
      <c r="AL71" s="159" t="s">
        <v>23</v>
      </c>
      <c r="AM71" s="159" t="s">
        <v>23</v>
      </c>
      <c r="AN71" s="275">
        <f t="shared" si="11"/>
        <v>8</v>
      </c>
      <c r="AO71" s="275">
        <f t="shared" si="12"/>
        <v>2023</v>
      </c>
      <c r="AP71" s="276">
        <f t="shared" si="13"/>
        <v>2026</v>
      </c>
      <c r="AQ71" s="277">
        <f t="shared" si="14"/>
        <v>2026.6666666666667</v>
      </c>
      <c r="AR71" s="278">
        <f t="shared" si="15"/>
        <v>6.1861111111111109</v>
      </c>
      <c r="AS71" s="279">
        <f t="shared" si="16"/>
        <v>74.233333333333334</v>
      </c>
      <c r="AT71" s="279">
        <f t="shared" si="17"/>
        <v>74.233333333333334</v>
      </c>
      <c r="AU71" s="279">
        <f t="shared" si="18"/>
        <v>0</v>
      </c>
      <c r="AV71" s="279">
        <f t="shared" si="19"/>
        <v>74.233333333333334</v>
      </c>
      <c r="AW71" s="280">
        <f t="shared" si="20"/>
        <v>148.46666666666664</v>
      </c>
      <c r="AX71" s="281" t="s">
        <v>77</v>
      </c>
    </row>
    <row r="72" spans="2:50">
      <c r="B72" s="157">
        <v>2149</v>
      </c>
      <c r="C72" s="158">
        <v>313965</v>
      </c>
      <c r="D72" s="157" t="s">
        <v>433</v>
      </c>
      <c r="E72" s="159" t="s">
        <v>1626</v>
      </c>
      <c r="F72" s="160" t="s">
        <v>1828</v>
      </c>
      <c r="G72" s="160"/>
      <c r="H72" s="160"/>
      <c r="I72" s="157">
        <v>1</v>
      </c>
      <c r="J72" s="159"/>
      <c r="K72" s="157">
        <v>0</v>
      </c>
      <c r="L72" s="159" t="s">
        <v>1750</v>
      </c>
      <c r="M72" s="159"/>
      <c r="N72" s="159" t="s">
        <v>1798</v>
      </c>
      <c r="O72" s="159" t="s">
        <v>1789</v>
      </c>
      <c r="P72" s="159"/>
      <c r="Q72" s="159"/>
      <c r="R72" s="159"/>
      <c r="S72" s="161">
        <v>45162</v>
      </c>
      <c r="T72" s="161">
        <v>45162</v>
      </c>
      <c r="U72" s="159" t="s">
        <v>1751</v>
      </c>
      <c r="V72" s="157">
        <v>300</v>
      </c>
      <c r="W72" s="157">
        <v>14110</v>
      </c>
      <c r="X72" s="162">
        <v>1074.77</v>
      </c>
      <c r="Y72" s="157">
        <v>14116</v>
      </c>
      <c r="Z72" s="162">
        <v>238.82</v>
      </c>
      <c r="AA72" s="162">
        <v>835.95</v>
      </c>
      <c r="AB72" s="162">
        <v>119.4</v>
      </c>
      <c r="AC72" s="157">
        <v>70260</v>
      </c>
      <c r="AD72" s="162">
        <v>29.85</v>
      </c>
      <c r="AE72" s="157" t="s">
        <v>433</v>
      </c>
      <c r="AF72" s="159"/>
      <c r="AG72" s="159"/>
      <c r="AH72" s="159" t="s">
        <v>2</v>
      </c>
      <c r="AI72" s="159" t="s">
        <v>1785</v>
      </c>
      <c r="AJ72" s="159" t="s">
        <v>1787</v>
      </c>
      <c r="AK72" s="159">
        <v>0</v>
      </c>
      <c r="AL72" s="159" t="s">
        <v>23</v>
      </c>
      <c r="AM72" s="159" t="s">
        <v>23</v>
      </c>
      <c r="AN72" s="275">
        <f t="shared" si="11"/>
        <v>8</v>
      </c>
      <c r="AO72" s="275">
        <f t="shared" si="12"/>
        <v>2023</v>
      </c>
      <c r="AP72" s="276">
        <f t="shared" si="13"/>
        <v>2026</v>
      </c>
      <c r="AQ72" s="277">
        <f t="shared" si="14"/>
        <v>2026.6666666666667</v>
      </c>
      <c r="AR72" s="278">
        <f t="shared" si="15"/>
        <v>29.854722222222222</v>
      </c>
      <c r="AS72" s="279">
        <f t="shared" si="16"/>
        <v>358.25666666666666</v>
      </c>
      <c r="AT72" s="279">
        <f t="shared" si="17"/>
        <v>358.25666666666666</v>
      </c>
      <c r="AU72" s="279">
        <f t="shared" si="18"/>
        <v>0</v>
      </c>
      <c r="AV72" s="279">
        <f t="shared" si="19"/>
        <v>358.25666666666666</v>
      </c>
      <c r="AW72" s="280">
        <f t="shared" si="20"/>
        <v>716.51333333333332</v>
      </c>
      <c r="AX72" s="281" t="s">
        <v>77</v>
      </c>
    </row>
    <row r="73" spans="2:50">
      <c r="B73" s="157">
        <v>2149</v>
      </c>
      <c r="C73" s="158">
        <v>312925</v>
      </c>
      <c r="D73" s="157" t="s">
        <v>433</v>
      </c>
      <c r="E73" s="159" t="s">
        <v>1626</v>
      </c>
      <c r="F73" s="160" t="s">
        <v>1400</v>
      </c>
      <c r="G73" s="160"/>
      <c r="H73" s="160"/>
      <c r="I73" s="157">
        <v>20</v>
      </c>
      <c r="J73" s="159"/>
      <c r="K73" s="157">
        <v>0</v>
      </c>
      <c r="L73" s="159" t="s">
        <v>1679</v>
      </c>
      <c r="M73" s="159"/>
      <c r="N73" s="159" t="s">
        <v>646</v>
      </c>
      <c r="O73" s="159" t="s">
        <v>1789</v>
      </c>
      <c r="P73" s="159"/>
      <c r="Q73" s="159" t="s">
        <v>1792</v>
      </c>
      <c r="R73" s="159" t="s">
        <v>1791</v>
      </c>
      <c r="S73" s="161">
        <v>45127</v>
      </c>
      <c r="T73" s="161">
        <v>45127</v>
      </c>
      <c r="U73" s="159" t="s">
        <v>1681</v>
      </c>
      <c r="V73" s="157">
        <v>1200</v>
      </c>
      <c r="W73" s="157">
        <v>14050</v>
      </c>
      <c r="X73" s="162">
        <v>17900</v>
      </c>
      <c r="Y73" s="157">
        <v>14056</v>
      </c>
      <c r="Z73" s="162">
        <v>1118.77</v>
      </c>
      <c r="AA73" s="162">
        <v>16781.23</v>
      </c>
      <c r="AB73" s="162">
        <v>497.24</v>
      </c>
      <c r="AC73" s="157">
        <v>54260</v>
      </c>
      <c r="AD73" s="162">
        <v>124.31</v>
      </c>
      <c r="AE73" s="157" t="s">
        <v>433</v>
      </c>
      <c r="AF73" s="159"/>
      <c r="AG73" s="159"/>
      <c r="AH73" s="159" t="s">
        <v>2</v>
      </c>
      <c r="AI73" s="159" t="s">
        <v>1785</v>
      </c>
      <c r="AJ73" s="159" t="s">
        <v>1787</v>
      </c>
      <c r="AK73" s="159">
        <v>0</v>
      </c>
      <c r="AL73" s="159" t="s">
        <v>16</v>
      </c>
      <c r="AM73" s="159" t="s">
        <v>16</v>
      </c>
      <c r="AN73" s="275">
        <f t="shared" si="11"/>
        <v>7</v>
      </c>
      <c r="AO73" s="275">
        <f t="shared" si="12"/>
        <v>2023</v>
      </c>
      <c r="AP73" s="276">
        <f t="shared" si="13"/>
        <v>2035</v>
      </c>
      <c r="AQ73" s="277">
        <f t="shared" si="14"/>
        <v>2035.5833333333333</v>
      </c>
      <c r="AR73" s="278">
        <f t="shared" si="15"/>
        <v>124.30555555555556</v>
      </c>
      <c r="AS73" s="279">
        <f t="shared" si="16"/>
        <v>1491.6666666666667</v>
      </c>
      <c r="AT73" s="279">
        <f t="shared" si="17"/>
        <v>1491.6666666666667</v>
      </c>
      <c r="AU73" s="279">
        <f t="shared" si="18"/>
        <v>0</v>
      </c>
      <c r="AV73" s="279">
        <f t="shared" si="19"/>
        <v>1491.6666666666667</v>
      </c>
      <c r="AW73" s="280">
        <f t="shared" si="20"/>
        <v>16408.333333333332</v>
      </c>
      <c r="AX73" s="281" t="s">
        <v>77</v>
      </c>
    </row>
    <row r="74" spans="2:50">
      <c r="B74" s="157">
        <v>2149</v>
      </c>
      <c r="C74" s="158">
        <v>310499</v>
      </c>
      <c r="D74" s="157" t="s">
        <v>433</v>
      </c>
      <c r="E74" s="159" t="s">
        <v>1626</v>
      </c>
      <c r="F74" s="160" t="s">
        <v>1752</v>
      </c>
      <c r="G74" s="160"/>
      <c r="H74" s="160"/>
      <c r="I74" s="157">
        <v>200</v>
      </c>
      <c r="J74" s="159"/>
      <c r="K74" s="157">
        <v>0</v>
      </c>
      <c r="L74" s="159" t="s">
        <v>1753</v>
      </c>
      <c r="M74" s="159"/>
      <c r="N74" s="159" t="s">
        <v>646</v>
      </c>
      <c r="O74" s="159" t="s">
        <v>1789</v>
      </c>
      <c r="P74" s="159"/>
      <c r="Q74" s="159"/>
      <c r="R74" s="159"/>
      <c r="S74" s="161">
        <v>45118</v>
      </c>
      <c r="T74" s="161">
        <v>45118</v>
      </c>
      <c r="U74" s="159" t="s">
        <v>1754</v>
      </c>
      <c r="V74" s="157">
        <v>700</v>
      </c>
      <c r="W74" s="157">
        <v>14050</v>
      </c>
      <c r="X74" s="162">
        <v>13333.3</v>
      </c>
      <c r="Y74" s="157">
        <v>14056</v>
      </c>
      <c r="Z74" s="162">
        <v>1587.3</v>
      </c>
      <c r="AA74" s="162">
        <v>11746</v>
      </c>
      <c r="AB74" s="162">
        <v>634.91999999999996</v>
      </c>
      <c r="AC74" s="157">
        <v>54260</v>
      </c>
      <c r="AD74" s="162">
        <v>158.72999999999999</v>
      </c>
      <c r="AE74" s="157" t="s">
        <v>433</v>
      </c>
      <c r="AF74" s="159"/>
      <c r="AG74" s="159"/>
      <c r="AH74" s="159" t="s">
        <v>2</v>
      </c>
      <c r="AI74" s="159" t="s">
        <v>1785</v>
      </c>
      <c r="AJ74" s="159" t="s">
        <v>1787</v>
      </c>
      <c r="AK74" s="159">
        <v>0</v>
      </c>
      <c r="AL74" s="159" t="s">
        <v>573</v>
      </c>
      <c r="AM74" s="159" t="s">
        <v>573</v>
      </c>
      <c r="AN74" s="275">
        <f t="shared" si="11"/>
        <v>7</v>
      </c>
      <c r="AO74" s="275">
        <f t="shared" si="12"/>
        <v>2023</v>
      </c>
      <c r="AP74" s="276">
        <f t="shared" si="13"/>
        <v>2030</v>
      </c>
      <c r="AQ74" s="277">
        <f t="shared" si="14"/>
        <v>2030.5833333333333</v>
      </c>
      <c r="AR74" s="278">
        <f t="shared" si="15"/>
        <v>158.72976190476189</v>
      </c>
      <c r="AS74" s="279">
        <f t="shared" si="16"/>
        <v>1904.7571428571428</v>
      </c>
      <c r="AT74" s="279">
        <f t="shared" si="17"/>
        <v>1904.7571428571428</v>
      </c>
      <c r="AU74" s="279">
        <f t="shared" si="18"/>
        <v>0</v>
      </c>
      <c r="AV74" s="279">
        <f t="shared" si="19"/>
        <v>1904.7571428571428</v>
      </c>
      <c r="AW74" s="280">
        <f t="shared" si="20"/>
        <v>11428.542857142857</v>
      </c>
      <c r="AX74" s="281" t="s">
        <v>77</v>
      </c>
    </row>
    <row r="75" spans="2:50">
      <c r="B75" s="157">
        <v>2149</v>
      </c>
      <c r="C75" s="158">
        <v>310031</v>
      </c>
      <c r="D75" s="157" t="s">
        <v>433</v>
      </c>
      <c r="E75" s="159" t="s">
        <v>1626</v>
      </c>
      <c r="F75" s="160" t="s">
        <v>567</v>
      </c>
      <c r="G75" s="160"/>
      <c r="H75" s="160"/>
      <c r="I75" s="157">
        <v>324</v>
      </c>
      <c r="J75" s="159"/>
      <c r="K75" s="157">
        <v>0</v>
      </c>
      <c r="L75" s="159"/>
      <c r="M75" s="159"/>
      <c r="N75" s="159" t="s">
        <v>646</v>
      </c>
      <c r="O75" s="159" t="s">
        <v>1789</v>
      </c>
      <c r="P75" s="159"/>
      <c r="Q75" s="159"/>
      <c r="R75" s="159"/>
      <c r="S75" s="161">
        <v>45103</v>
      </c>
      <c r="T75" s="161">
        <v>45103</v>
      </c>
      <c r="U75" s="159" t="s">
        <v>1755</v>
      </c>
      <c r="V75" s="157">
        <v>700</v>
      </c>
      <c r="W75" s="157">
        <v>14050</v>
      </c>
      <c r="X75" s="162">
        <v>20473.509999999998</v>
      </c>
      <c r="Y75" s="157">
        <v>14056</v>
      </c>
      <c r="Z75" s="162">
        <v>2437.31</v>
      </c>
      <c r="AA75" s="162">
        <v>18036.199999999997</v>
      </c>
      <c r="AB75" s="162">
        <v>974.92</v>
      </c>
      <c r="AC75" s="157">
        <v>54260</v>
      </c>
      <c r="AD75" s="162">
        <v>243.73</v>
      </c>
      <c r="AE75" s="157" t="s">
        <v>433</v>
      </c>
      <c r="AF75" s="159"/>
      <c r="AG75" s="159"/>
      <c r="AH75" s="159" t="s">
        <v>2</v>
      </c>
      <c r="AI75" s="159" t="s">
        <v>1785</v>
      </c>
      <c r="AJ75" s="159" t="s">
        <v>1787</v>
      </c>
      <c r="AK75" s="159">
        <v>0</v>
      </c>
      <c r="AL75" s="159" t="s">
        <v>574</v>
      </c>
      <c r="AM75" s="159" t="s">
        <v>1603</v>
      </c>
      <c r="AN75" s="275">
        <f t="shared" si="11"/>
        <v>6</v>
      </c>
      <c r="AO75" s="275">
        <f t="shared" si="12"/>
        <v>2023</v>
      </c>
      <c r="AP75" s="276">
        <f t="shared" si="13"/>
        <v>2030</v>
      </c>
      <c r="AQ75" s="277">
        <f t="shared" si="14"/>
        <v>2030.5</v>
      </c>
      <c r="AR75" s="278">
        <f t="shared" si="15"/>
        <v>243.73226190476188</v>
      </c>
      <c r="AS75" s="279">
        <f t="shared" si="16"/>
        <v>2924.7871428571425</v>
      </c>
      <c r="AT75" s="279">
        <f t="shared" si="17"/>
        <v>2924.7871428571425</v>
      </c>
      <c r="AU75" s="279">
        <f t="shared" si="18"/>
        <v>0</v>
      </c>
      <c r="AV75" s="279">
        <f t="shared" si="19"/>
        <v>2924.7871428571425</v>
      </c>
      <c r="AW75" s="280">
        <f t="shared" si="20"/>
        <v>17548.722857142857</v>
      </c>
      <c r="AX75" s="281" t="s">
        <v>77</v>
      </c>
    </row>
    <row r="76" spans="2:50">
      <c r="B76" s="157">
        <v>2149</v>
      </c>
      <c r="C76" s="158">
        <v>309757</v>
      </c>
      <c r="D76" s="157">
        <v>205264</v>
      </c>
      <c r="E76" s="159" t="s">
        <v>1626</v>
      </c>
      <c r="F76" s="160" t="s">
        <v>1756</v>
      </c>
      <c r="G76" s="160"/>
      <c r="H76" s="160"/>
      <c r="I76" s="157">
        <v>1</v>
      </c>
      <c r="J76" s="159"/>
      <c r="K76" s="157">
        <v>0</v>
      </c>
      <c r="L76" s="159" t="s">
        <v>1435</v>
      </c>
      <c r="M76" s="159"/>
      <c r="N76" s="159" t="s">
        <v>1788</v>
      </c>
      <c r="O76" s="159" t="s">
        <v>1789</v>
      </c>
      <c r="P76" s="159" t="s">
        <v>683</v>
      </c>
      <c r="Q76" s="159"/>
      <c r="R76" s="159"/>
      <c r="S76" s="161">
        <v>45077</v>
      </c>
      <c r="T76" s="161">
        <v>45077</v>
      </c>
      <c r="U76" s="159" t="s">
        <v>1757</v>
      </c>
      <c r="V76" s="157">
        <v>300</v>
      </c>
      <c r="W76" s="157">
        <v>14040</v>
      </c>
      <c r="X76" s="162">
        <v>14468.48</v>
      </c>
      <c r="Y76" s="157">
        <v>14046</v>
      </c>
      <c r="Z76" s="162">
        <v>4420.92</v>
      </c>
      <c r="AA76" s="162">
        <v>10047.56</v>
      </c>
      <c r="AB76" s="162">
        <v>1607.6</v>
      </c>
      <c r="AC76" s="157">
        <v>51260</v>
      </c>
      <c r="AD76" s="162">
        <v>401.9</v>
      </c>
      <c r="AE76" s="157" t="s">
        <v>433</v>
      </c>
      <c r="AF76" s="159"/>
      <c r="AG76" s="159"/>
      <c r="AH76" s="159" t="s">
        <v>2</v>
      </c>
      <c r="AI76" s="159" t="s">
        <v>1785</v>
      </c>
      <c r="AJ76" s="159" t="s">
        <v>1787</v>
      </c>
      <c r="AK76" s="159">
        <v>5</v>
      </c>
      <c r="AL76" s="159" t="s">
        <v>583</v>
      </c>
      <c r="AM76" s="159" t="s">
        <v>583</v>
      </c>
      <c r="AN76" s="275">
        <f t="shared" si="11"/>
        <v>5</v>
      </c>
      <c r="AO76" s="275">
        <f t="shared" si="12"/>
        <v>2023</v>
      </c>
      <c r="AP76" s="276">
        <f t="shared" si="13"/>
        <v>2026</v>
      </c>
      <c r="AQ76" s="277">
        <f t="shared" si="14"/>
        <v>2026.4166666666667</v>
      </c>
      <c r="AR76" s="278">
        <f t="shared" si="15"/>
        <v>401.90222222222224</v>
      </c>
      <c r="AS76" s="279">
        <f t="shared" si="16"/>
        <v>4822.8266666666668</v>
      </c>
      <c r="AT76" s="279">
        <f t="shared" si="17"/>
        <v>4822.8266666666668</v>
      </c>
      <c r="AU76" s="279">
        <f t="shared" si="18"/>
        <v>0</v>
      </c>
      <c r="AV76" s="279">
        <f t="shared" si="19"/>
        <v>4822.8266666666668</v>
      </c>
      <c r="AW76" s="280">
        <f t="shared" si="20"/>
        <v>9645.6533333333318</v>
      </c>
      <c r="AX76" s="281" t="s">
        <v>77</v>
      </c>
    </row>
    <row r="77" spans="2:50">
      <c r="B77" s="157">
        <v>2149</v>
      </c>
      <c r="C77" s="158">
        <v>309754</v>
      </c>
      <c r="D77" s="157">
        <v>71160</v>
      </c>
      <c r="E77" s="159" t="s">
        <v>1626</v>
      </c>
      <c r="F77" s="160" t="s">
        <v>1758</v>
      </c>
      <c r="G77" s="160"/>
      <c r="H77" s="160"/>
      <c r="I77" s="157">
        <v>1</v>
      </c>
      <c r="J77" s="159"/>
      <c r="K77" s="157">
        <v>0</v>
      </c>
      <c r="L77" s="159" t="s">
        <v>1759</v>
      </c>
      <c r="M77" s="159"/>
      <c r="N77" s="159" t="s">
        <v>1788</v>
      </c>
      <c r="O77" s="159" t="s">
        <v>1789</v>
      </c>
      <c r="P77" s="159" t="s">
        <v>683</v>
      </c>
      <c r="Q77" s="159"/>
      <c r="R77" s="159"/>
      <c r="S77" s="161">
        <v>45062</v>
      </c>
      <c r="T77" s="161">
        <v>45062</v>
      </c>
      <c r="U77" s="159" t="s">
        <v>1760</v>
      </c>
      <c r="V77" s="157">
        <v>300</v>
      </c>
      <c r="W77" s="157">
        <v>14040</v>
      </c>
      <c r="X77" s="162">
        <v>63526</v>
      </c>
      <c r="Y77" s="157">
        <v>14046</v>
      </c>
      <c r="Z77" s="162">
        <v>19410.72</v>
      </c>
      <c r="AA77" s="162">
        <v>44115.28</v>
      </c>
      <c r="AB77" s="162">
        <v>7058.44</v>
      </c>
      <c r="AC77" s="157">
        <v>51260</v>
      </c>
      <c r="AD77" s="162">
        <v>1764.61</v>
      </c>
      <c r="AE77" s="157" t="s">
        <v>433</v>
      </c>
      <c r="AF77" s="159"/>
      <c r="AG77" s="159"/>
      <c r="AH77" s="159" t="s">
        <v>2</v>
      </c>
      <c r="AI77" s="159" t="s">
        <v>1785</v>
      </c>
      <c r="AJ77" s="159" t="s">
        <v>1787</v>
      </c>
      <c r="AK77" s="159">
        <v>37</v>
      </c>
      <c r="AL77" s="159" t="s">
        <v>1567</v>
      </c>
      <c r="AM77" s="159" t="s">
        <v>1567</v>
      </c>
      <c r="AN77" s="275">
        <f t="shared" si="11"/>
        <v>5</v>
      </c>
      <c r="AO77" s="275">
        <f t="shared" si="12"/>
        <v>2023</v>
      </c>
      <c r="AP77" s="276">
        <f t="shared" si="13"/>
        <v>2026</v>
      </c>
      <c r="AQ77" s="277">
        <f t="shared" si="14"/>
        <v>2026.4166666666667</v>
      </c>
      <c r="AR77" s="278">
        <f t="shared" si="15"/>
        <v>1764.6111111111111</v>
      </c>
      <c r="AS77" s="279">
        <f t="shared" si="16"/>
        <v>21175.333333333332</v>
      </c>
      <c r="AT77" s="279">
        <f t="shared" si="17"/>
        <v>21175.333333333332</v>
      </c>
      <c r="AU77" s="279">
        <f t="shared" si="18"/>
        <v>0</v>
      </c>
      <c r="AV77" s="279">
        <f t="shared" si="19"/>
        <v>21175.333333333332</v>
      </c>
      <c r="AW77" s="280">
        <f t="shared" si="20"/>
        <v>42350.666666666672</v>
      </c>
      <c r="AX77" s="281" t="s">
        <v>77</v>
      </c>
    </row>
    <row r="78" spans="2:50">
      <c r="B78" s="157">
        <v>2149</v>
      </c>
      <c r="C78" s="158">
        <v>309705</v>
      </c>
      <c r="D78" s="157">
        <v>205264</v>
      </c>
      <c r="E78" s="159" t="s">
        <v>1626</v>
      </c>
      <c r="F78" s="160" t="s">
        <v>1761</v>
      </c>
      <c r="G78" s="160"/>
      <c r="H78" s="160"/>
      <c r="I78" s="157">
        <v>1</v>
      </c>
      <c r="J78" s="159"/>
      <c r="K78" s="157">
        <v>0</v>
      </c>
      <c r="L78" s="159" t="s">
        <v>1435</v>
      </c>
      <c r="M78" s="159"/>
      <c r="N78" s="159" t="s">
        <v>1788</v>
      </c>
      <c r="O78" s="159" t="s">
        <v>1789</v>
      </c>
      <c r="P78" s="159" t="s">
        <v>683</v>
      </c>
      <c r="Q78" s="159"/>
      <c r="R78" s="159"/>
      <c r="S78" s="161">
        <v>45077</v>
      </c>
      <c r="T78" s="161">
        <v>45077</v>
      </c>
      <c r="U78" s="159" t="s">
        <v>1757</v>
      </c>
      <c r="V78" s="157">
        <v>300</v>
      </c>
      <c r="W78" s="157">
        <v>14040</v>
      </c>
      <c r="X78" s="162">
        <v>-3255</v>
      </c>
      <c r="Y78" s="157">
        <v>14046</v>
      </c>
      <c r="Z78" s="162">
        <v>-994.6</v>
      </c>
      <c r="AA78" s="162">
        <v>-2260.4</v>
      </c>
      <c r="AB78" s="162">
        <v>-361.68</v>
      </c>
      <c r="AC78" s="157">
        <v>51260</v>
      </c>
      <c r="AD78" s="162">
        <v>-90.42</v>
      </c>
      <c r="AE78" s="157" t="s">
        <v>433</v>
      </c>
      <c r="AF78" s="159"/>
      <c r="AG78" s="159"/>
      <c r="AH78" s="159" t="s">
        <v>2</v>
      </c>
      <c r="AI78" s="159" t="s">
        <v>1785</v>
      </c>
      <c r="AJ78" s="159" t="s">
        <v>1787</v>
      </c>
      <c r="AK78" s="159">
        <v>5</v>
      </c>
      <c r="AL78" s="159" t="s">
        <v>583</v>
      </c>
      <c r="AM78" s="159" t="s">
        <v>583</v>
      </c>
      <c r="AN78" s="275">
        <f t="shared" si="11"/>
        <v>5</v>
      </c>
      <c r="AO78" s="275">
        <f t="shared" si="12"/>
        <v>2023</v>
      </c>
      <c r="AP78" s="276">
        <f t="shared" si="13"/>
        <v>2026</v>
      </c>
      <c r="AQ78" s="277">
        <f t="shared" si="14"/>
        <v>2026.4166666666667</v>
      </c>
      <c r="AR78" s="278">
        <f t="shared" si="15"/>
        <v>-90.416666666666671</v>
      </c>
      <c r="AS78" s="279">
        <f t="shared" si="16"/>
        <v>-1085</v>
      </c>
      <c r="AT78" s="279">
        <f t="shared" si="17"/>
        <v>-1085</v>
      </c>
      <c r="AU78" s="279">
        <f t="shared" si="18"/>
        <v>0</v>
      </c>
      <c r="AV78" s="279">
        <f t="shared" si="19"/>
        <v>-1085</v>
      </c>
      <c r="AW78" s="280">
        <f t="shared" si="20"/>
        <v>-2170</v>
      </c>
      <c r="AX78" s="281" t="s">
        <v>77</v>
      </c>
    </row>
    <row r="79" spans="2:50">
      <c r="B79" s="157">
        <v>2149</v>
      </c>
      <c r="C79" s="158">
        <v>309351</v>
      </c>
      <c r="D79" s="157" t="s">
        <v>433</v>
      </c>
      <c r="E79" s="159" t="s">
        <v>1626</v>
      </c>
      <c r="F79" s="160" t="s">
        <v>566</v>
      </c>
      <c r="G79" s="160"/>
      <c r="H79" s="160"/>
      <c r="I79" s="157">
        <v>208</v>
      </c>
      <c r="J79" s="159"/>
      <c r="K79" s="157">
        <v>0</v>
      </c>
      <c r="L79" s="159" t="s">
        <v>1596</v>
      </c>
      <c r="M79" s="159"/>
      <c r="N79" s="159" t="s">
        <v>646</v>
      </c>
      <c r="O79" s="159" t="s">
        <v>1789</v>
      </c>
      <c r="P79" s="159"/>
      <c r="Q79" s="159"/>
      <c r="R79" s="159"/>
      <c r="S79" s="161">
        <v>45103</v>
      </c>
      <c r="T79" s="161">
        <v>45103</v>
      </c>
      <c r="U79" s="159" t="s">
        <v>1755</v>
      </c>
      <c r="V79" s="157">
        <v>700</v>
      </c>
      <c r="W79" s="157">
        <v>14050</v>
      </c>
      <c r="X79" s="162">
        <v>13143.47</v>
      </c>
      <c r="Y79" s="157">
        <v>14056</v>
      </c>
      <c r="Z79" s="162">
        <v>1564.7</v>
      </c>
      <c r="AA79" s="162">
        <v>11578.769999999999</v>
      </c>
      <c r="AB79" s="162">
        <v>625.88</v>
      </c>
      <c r="AC79" s="157">
        <v>54260</v>
      </c>
      <c r="AD79" s="162">
        <v>156.47</v>
      </c>
      <c r="AE79" s="157" t="s">
        <v>433</v>
      </c>
      <c r="AF79" s="159"/>
      <c r="AG79" s="159"/>
      <c r="AH79" s="159" t="s">
        <v>2</v>
      </c>
      <c r="AI79" s="159" t="s">
        <v>1785</v>
      </c>
      <c r="AJ79" s="159" t="s">
        <v>1787</v>
      </c>
      <c r="AK79" s="159">
        <v>0</v>
      </c>
      <c r="AL79" s="274" t="s">
        <v>1603</v>
      </c>
      <c r="AM79" s="274" t="s">
        <v>1603</v>
      </c>
      <c r="AN79" s="275">
        <f t="shared" si="11"/>
        <v>6</v>
      </c>
      <c r="AO79" s="275">
        <f t="shared" si="12"/>
        <v>2023</v>
      </c>
      <c r="AP79" s="276">
        <f t="shared" si="13"/>
        <v>2030</v>
      </c>
      <c r="AQ79" s="277">
        <f t="shared" si="14"/>
        <v>2030.5</v>
      </c>
      <c r="AR79" s="278">
        <f t="shared" si="15"/>
        <v>156.46988095238095</v>
      </c>
      <c r="AS79" s="279">
        <f t="shared" si="16"/>
        <v>1877.6385714285714</v>
      </c>
      <c r="AT79" s="279">
        <f t="shared" si="17"/>
        <v>1877.6385714285714</v>
      </c>
      <c r="AU79" s="279">
        <f t="shared" si="18"/>
        <v>0</v>
      </c>
      <c r="AV79" s="279">
        <f t="shared" si="19"/>
        <v>1877.6385714285714</v>
      </c>
      <c r="AW79" s="280">
        <f t="shared" si="20"/>
        <v>11265.831428571428</v>
      </c>
      <c r="AX79" s="281" t="s">
        <v>77</v>
      </c>
    </row>
    <row r="80" spans="2:50">
      <c r="B80" s="157">
        <v>2149</v>
      </c>
      <c r="C80" s="158">
        <v>309350</v>
      </c>
      <c r="D80" s="157" t="s">
        <v>433</v>
      </c>
      <c r="E80" s="159" t="s">
        <v>1626</v>
      </c>
      <c r="F80" s="160" t="s">
        <v>565</v>
      </c>
      <c r="G80" s="160"/>
      <c r="H80" s="160"/>
      <c r="I80" s="157">
        <v>208</v>
      </c>
      <c r="J80" s="159"/>
      <c r="K80" s="157">
        <v>0</v>
      </c>
      <c r="L80" s="159" t="s">
        <v>1596</v>
      </c>
      <c r="M80" s="159"/>
      <c r="N80" s="159" t="s">
        <v>646</v>
      </c>
      <c r="O80" s="159" t="s">
        <v>1789</v>
      </c>
      <c r="P80" s="159"/>
      <c r="Q80" s="159"/>
      <c r="R80" s="159"/>
      <c r="S80" s="161">
        <v>45103</v>
      </c>
      <c r="T80" s="161">
        <v>45103</v>
      </c>
      <c r="U80" s="159" t="s">
        <v>1755</v>
      </c>
      <c r="V80" s="157">
        <v>700</v>
      </c>
      <c r="W80" s="157">
        <v>14050</v>
      </c>
      <c r="X80" s="162">
        <v>11837.23</v>
      </c>
      <c r="Y80" s="157">
        <v>14056</v>
      </c>
      <c r="Z80" s="162">
        <v>1409.2</v>
      </c>
      <c r="AA80" s="162">
        <v>10428.029999999999</v>
      </c>
      <c r="AB80" s="162">
        <v>563.67999999999995</v>
      </c>
      <c r="AC80" s="157">
        <v>54260</v>
      </c>
      <c r="AD80" s="162">
        <v>140.91999999999999</v>
      </c>
      <c r="AE80" s="157" t="s">
        <v>433</v>
      </c>
      <c r="AF80" s="159"/>
      <c r="AG80" s="159"/>
      <c r="AH80" s="159" t="s">
        <v>2</v>
      </c>
      <c r="AI80" s="159" t="s">
        <v>1785</v>
      </c>
      <c r="AJ80" s="159" t="s">
        <v>1787</v>
      </c>
      <c r="AK80" s="159">
        <v>0</v>
      </c>
      <c r="AL80" s="159" t="s">
        <v>573</v>
      </c>
      <c r="AM80" s="159" t="s">
        <v>573</v>
      </c>
      <c r="AN80" s="275">
        <f t="shared" si="11"/>
        <v>6</v>
      </c>
      <c r="AO80" s="275">
        <f t="shared" si="12"/>
        <v>2023</v>
      </c>
      <c r="AP80" s="276">
        <f t="shared" si="13"/>
        <v>2030</v>
      </c>
      <c r="AQ80" s="277">
        <f t="shared" si="14"/>
        <v>2030.5</v>
      </c>
      <c r="AR80" s="278">
        <f t="shared" si="15"/>
        <v>140.91940476190476</v>
      </c>
      <c r="AS80" s="279">
        <f t="shared" si="16"/>
        <v>1691.0328571428572</v>
      </c>
      <c r="AT80" s="279">
        <f t="shared" si="17"/>
        <v>1691.0328571428572</v>
      </c>
      <c r="AU80" s="279">
        <f t="shared" si="18"/>
        <v>0</v>
      </c>
      <c r="AV80" s="279">
        <f t="shared" si="19"/>
        <v>1691.0328571428572</v>
      </c>
      <c r="AW80" s="280">
        <f t="shared" si="20"/>
        <v>10146.197142857141</v>
      </c>
      <c r="AX80" s="281" t="s">
        <v>77</v>
      </c>
    </row>
    <row r="81" spans="2:50">
      <c r="B81" s="157">
        <v>2149</v>
      </c>
      <c r="C81" s="158">
        <v>308419</v>
      </c>
      <c r="D81" s="157" t="s">
        <v>433</v>
      </c>
      <c r="E81" s="159" t="s">
        <v>1626</v>
      </c>
      <c r="F81" s="160" t="s">
        <v>1009</v>
      </c>
      <c r="G81" s="160"/>
      <c r="H81" s="160"/>
      <c r="I81" s="157">
        <v>1</v>
      </c>
      <c r="J81" s="159" t="s">
        <v>1762</v>
      </c>
      <c r="K81" s="157">
        <v>2004</v>
      </c>
      <c r="L81" s="159" t="s">
        <v>724</v>
      </c>
      <c r="M81" s="159" t="s">
        <v>620</v>
      </c>
      <c r="N81" s="159" t="s">
        <v>1788</v>
      </c>
      <c r="O81" s="159" t="s">
        <v>1789</v>
      </c>
      <c r="P81" s="159" t="s">
        <v>1009</v>
      </c>
      <c r="Q81" s="159"/>
      <c r="R81" s="159"/>
      <c r="S81" s="161">
        <v>38894</v>
      </c>
      <c r="T81" s="161">
        <v>38894</v>
      </c>
      <c r="U81" s="159" t="s">
        <v>1763</v>
      </c>
      <c r="V81" s="157">
        <v>700</v>
      </c>
      <c r="W81" s="157">
        <v>14040</v>
      </c>
      <c r="X81" s="162">
        <v>99553.75</v>
      </c>
      <c r="Y81" s="157">
        <v>14046</v>
      </c>
      <c r="Z81" s="162">
        <v>99553.75</v>
      </c>
      <c r="AA81" s="162">
        <v>0</v>
      </c>
      <c r="AB81" s="162">
        <v>0</v>
      </c>
      <c r="AC81" s="157">
        <v>51260</v>
      </c>
      <c r="AD81" s="162">
        <v>0</v>
      </c>
      <c r="AE81" s="157" t="s">
        <v>433</v>
      </c>
      <c r="AF81" s="159"/>
      <c r="AG81" s="159">
        <v>154</v>
      </c>
      <c r="AH81" s="159" t="s">
        <v>2</v>
      </c>
      <c r="AI81" s="159" t="s">
        <v>1785</v>
      </c>
      <c r="AJ81" s="159" t="s">
        <v>1787</v>
      </c>
      <c r="AK81" s="159">
        <v>154</v>
      </c>
      <c r="AL81" s="159" t="s">
        <v>13</v>
      </c>
      <c r="AM81" s="159" t="s">
        <v>13</v>
      </c>
      <c r="AN81" s="275">
        <f t="shared" ref="AN81:AN112" si="21">MONTH($S81)</f>
        <v>6</v>
      </c>
      <c r="AO81" s="275">
        <f t="shared" ref="AO81:AO112" si="22">YEAR($S81)</f>
        <v>2006</v>
      </c>
      <c r="AP81" s="276">
        <f t="shared" ref="AP81:AP112" si="23">$AO81+($V81/100)</f>
        <v>2013</v>
      </c>
      <c r="AQ81" s="277">
        <f t="shared" ref="AQ81:AQ112" si="24">$AP81+($AN81/12)</f>
        <v>2013.5</v>
      </c>
      <c r="AR81" s="278">
        <f t="shared" ref="AR81:AR112" si="25">IFERROR($X81/($V81/100)/12,0)</f>
        <v>1185.1636904761906</v>
      </c>
      <c r="AS81" s="279">
        <f t="shared" ref="AS81:AS112" si="26">$AR81*12</f>
        <v>14221.964285714286</v>
      </c>
      <c r="AT81" s="279">
        <f t="shared" ref="AT81:AT112" si="27">IF(AQ81&lt;$AK$12,0,AS81)</f>
        <v>0</v>
      </c>
      <c r="AU81" s="279">
        <f t="shared" ref="AU81:AU112" si="28">IF(AQ81&lt;=$AK$13,X81,IF((AO81+(AN81/12))&gt;=$AK$13,0,((X81-((AQ81-$AK$13)*12)*AR81))))</f>
        <v>99553.75</v>
      </c>
      <c r="AV81" s="279">
        <f t="shared" ref="AV81:AV112" si="29">IF(AQ81&lt;$AK$12,X81,AT81+AU81)</f>
        <v>99553.75</v>
      </c>
      <c r="AW81" s="280">
        <f t="shared" ref="AW81:AW112" si="30">+X81-AV81</f>
        <v>0</v>
      </c>
      <c r="AX81" s="281" t="s">
        <v>77</v>
      </c>
    </row>
    <row r="82" spans="2:50">
      <c r="B82" s="157">
        <v>2149</v>
      </c>
      <c r="C82" s="158">
        <v>308195</v>
      </c>
      <c r="D82" s="157" t="s">
        <v>433</v>
      </c>
      <c r="E82" s="159" t="s">
        <v>1626</v>
      </c>
      <c r="F82" s="160" t="s">
        <v>1764</v>
      </c>
      <c r="G82" s="160"/>
      <c r="H82" s="160"/>
      <c r="I82" s="157">
        <v>3</v>
      </c>
      <c r="J82" s="159"/>
      <c r="K82" s="157">
        <v>0</v>
      </c>
      <c r="L82" s="159"/>
      <c r="M82" s="159"/>
      <c r="N82" s="159" t="s">
        <v>646</v>
      </c>
      <c r="O82" s="159" t="s">
        <v>1789</v>
      </c>
      <c r="P82" s="159"/>
      <c r="Q82" s="159" t="s">
        <v>1796</v>
      </c>
      <c r="R82" s="159" t="s">
        <v>1794</v>
      </c>
      <c r="S82" s="161">
        <v>32690</v>
      </c>
      <c r="T82" s="161">
        <v>32690</v>
      </c>
      <c r="U82" s="159"/>
      <c r="V82" s="157">
        <v>1200</v>
      </c>
      <c r="W82" s="157">
        <v>14050</v>
      </c>
      <c r="X82" s="162">
        <v>3000</v>
      </c>
      <c r="Y82" s="157">
        <v>14056</v>
      </c>
      <c r="Z82" s="162">
        <v>3000</v>
      </c>
      <c r="AA82" s="162">
        <v>0</v>
      </c>
      <c r="AB82" s="162">
        <v>0</v>
      </c>
      <c r="AC82" s="157">
        <v>54260</v>
      </c>
      <c r="AD82" s="162">
        <v>0</v>
      </c>
      <c r="AE82" s="157" t="s">
        <v>663</v>
      </c>
      <c r="AF82" s="159" t="s">
        <v>1409</v>
      </c>
      <c r="AG82" s="159" t="s">
        <v>1212</v>
      </c>
      <c r="AH82" s="159" t="s">
        <v>2</v>
      </c>
      <c r="AI82" s="159" t="s">
        <v>1785</v>
      </c>
      <c r="AJ82" s="159" t="s">
        <v>1787</v>
      </c>
      <c r="AK82" s="159">
        <v>0</v>
      </c>
      <c r="AL82" s="159" t="s">
        <v>17</v>
      </c>
      <c r="AM82" s="159" t="s">
        <v>17</v>
      </c>
      <c r="AN82" s="275">
        <f t="shared" si="21"/>
        <v>7</v>
      </c>
      <c r="AO82" s="275">
        <f t="shared" si="22"/>
        <v>1989</v>
      </c>
      <c r="AP82" s="276">
        <f t="shared" si="23"/>
        <v>2001</v>
      </c>
      <c r="AQ82" s="277">
        <f t="shared" si="24"/>
        <v>2001.5833333333333</v>
      </c>
      <c r="AR82" s="278">
        <f t="shared" si="25"/>
        <v>20.833333333333332</v>
      </c>
      <c r="AS82" s="279">
        <f t="shared" si="26"/>
        <v>250</v>
      </c>
      <c r="AT82" s="279">
        <f t="shared" si="27"/>
        <v>0</v>
      </c>
      <c r="AU82" s="279">
        <f t="shared" si="28"/>
        <v>3000</v>
      </c>
      <c r="AV82" s="279">
        <f t="shared" si="29"/>
        <v>3000</v>
      </c>
      <c r="AW82" s="280">
        <f t="shared" si="30"/>
        <v>0</v>
      </c>
      <c r="AX82" s="281" t="s">
        <v>77</v>
      </c>
    </row>
    <row r="83" spans="2:50">
      <c r="B83" s="157">
        <v>2149</v>
      </c>
      <c r="C83" s="158">
        <v>308096</v>
      </c>
      <c r="D83" s="157" t="s">
        <v>433</v>
      </c>
      <c r="E83" s="159" t="s">
        <v>1626</v>
      </c>
      <c r="F83" s="160" t="s">
        <v>1765</v>
      </c>
      <c r="G83" s="160"/>
      <c r="H83" s="160"/>
      <c r="I83" s="157">
        <v>88</v>
      </c>
      <c r="J83" s="159"/>
      <c r="K83" s="157">
        <v>0</v>
      </c>
      <c r="L83" s="159"/>
      <c r="M83" s="159"/>
      <c r="N83" s="159" t="s">
        <v>646</v>
      </c>
      <c r="O83" s="159" t="s">
        <v>1789</v>
      </c>
      <c r="P83" s="159"/>
      <c r="Q83" s="159" t="s">
        <v>1796</v>
      </c>
      <c r="R83" s="159" t="s">
        <v>1794</v>
      </c>
      <c r="S83" s="161">
        <v>39755</v>
      </c>
      <c r="T83" s="161">
        <v>39755</v>
      </c>
      <c r="U83" s="159"/>
      <c r="V83" s="157">
        <v>700</v>
      </c>
      <c r="W83" s="157">
        <v>14050</v>
      </c>
      <c r="X83" s="162">
        <v>3889.08</v>
      </c>
      <c r="Y83" s="157">
        <v>14056</v>
      </c>
      <c r="Z83" s="162">
        <v>3889.08</v>
      </c>
      <c r="AA83" s="162">
        <v>0</v>
      </c>
      <c r="AB83" s="162">
        <v>0</v>
      </c>
      <c r="AC83" s="157">
        <v>54260</v>
      </c>
      <c r="AD83" s="162">
        <v>0</v>
      </c>
      <c r="AE83" s="157" t="s">
        <v>663</v>
      </c>
      <c r="AF83" s="159" t="s">
        <v>905</v>
      </c>
      <c r="AG83" s="159" t="s">
        <v>1212</v>
      </c>
      <c r="AH83" s="159" t="s">
        <v>2</v>
      </c>
      <c r="AI83" s="159" t="s">
        <v>1785</v>
      </c>
      <c r="AJ83" s="159" t="s">
        <v>1787</v>
      </c>
      <c r="AK83" s="159">
        <v>0</v>
      </c>
      <c r="AL83" s="159" t="s">
        <v>17</v>
      </c>
      <c r="AM83" s="159" t="s">
        <v>17</v>
      </c>
      <c r="AN83" s="275">
        <f t="shared" si="21"/>
        <v>11</v>
      </c>
      <c r="AO83" s="275">
        <f t="shared" si="22"/>
        <v>2008</v>
      </c>
      <c r="AP83" s="276">
        <f t="shared" si="23"/>
        <v>2015</v>
      </c>
      <c r="AQ83" s="277">
        <f t="shared" si="24"/>
        <v>2015.9166666666667</v>
      </c>
      <c r="AR83" s="278">
        <f t="shared" si="25"/>
        <v>46.298571428571428</v>
      </c>
      <c r="AS83" s="279">
        <f t="shared" si="26"/>
        <v>555.58285714285716</v>
      </c>
      <c r="AT83" s="279">
        <f t="shared" si="27"/>
        <v>0</v>
      </c>
      <c r="AU83" s="279">
        <f t="shared" si="28"/>
        <v>3889.08</v>
      </c>
      <c r="AV83" s="279">
        <f t="shared" si="29"/>
        <v>3889.08</v>
      </c>
      <c r="AW83" s="280">
        <f t="shared" si="30"/>
        <v>0</v>
      </c>
      <c r="AX83" s="281" t="s">
        <v>77</v>
      </c>
    </row>
    <row r="84" spans="2:50">
      <c r="B84" s="157">
        <v>2149</v>
      </c>
      <c r="C84" s="158">
        <v>308078</v>
      </c>
      <c r="D84" s="157" t="s">
        <v>433</v>
      </c>
      <c r="E84" s="159" t="s">
        <v>1626</v>
      </c>
      <c r="F84" s="160" t="s">
        <v>1766</v>
      </c>
      <c r="G84" s="160"/>
      <c r="H84" s="160"/>
      <c r="I84" s="157">
        <v>8</v>
      </c>
      <c r="J84" s="159"/>
      <c r="K84" s="157">
        <v>0</v>
      </c>
      <c r="L84" s="159"/>
      <c r="M84" s="159"/>
      <c r="N84" s="159" t="s">
        <v>646</v>
      </c>
      <c r="O84" s="159" t="s">
        <v>1789</v>
      </c>
      <c r="P84" s="159"/>
      <c r="Q84" s="159" t="s">
        <v>1824</v>
      </c>
      <c r="R84" s="159" t="s">
        <v>1825</v>
      </c>
      <c r="S84" s="161">
        <v>32192</v>
      </c>
      <c r="T84" s="161">
        <v>32192</v>
      </c>
      <c r="U84" s="159"/>
      <c r="V84" s="157">
        <v>1500</v>
      </c>
      <c r="W84" s="157">
        <v>14050</v>
      </c>
      <c r="X84" s="162">
        <v>8509.5</v>
      </c>
      <c r="Y84" s="157">
        <v>14056</v>
      </c>
      <c r="Z84" s="162">
        <v>8509.5</v>
      </c>
      <c r="AA84" s="162">
        <v>0</v>
      </c>
      <c r="AB84" s="162">
        <v>0</v>
      </c>
      <c r="AC84" s="157">
        <v>54260</v>
      </c>
      <c r="AD84" s="162">
        <v>0</v>
      </c>
      <c r="AE84" s="157" t="s">
        <v>663</v>
      </c>
      <c r="AF84" s="159" t="s">
        <v>1412</v>
      </c>
      <c r="AG84" s="159" t="s">
        <v>1212</v>
      </c>
      <c r="AH84" s="159" t="s">
        <v>2</v>
      </c>
      <c r="AI84" s="159" t="s">
        <v>1785</v>
      </c>
      <c r="AJ84" s="159" t="s">
        <v>1787</v>
      </c>
      <c r="AK84" s="159">
        <v>0</v>
      </c>
      <c r="AL84" s="159" t="s">
        <v>16</v>
      </c>
      <c r="AM84" s="159" t="s">
        <v>16</v>
      </c>
      <c r="AN84" s="275">
        <f t="shared" si="21"/>
        <v>2</v>
      </c>
      <c r="AO84" s="275">
        <f t="shared" si="22"/>
        <v>1988</v>
      </c>
      <c r="AP84" s="276">
        <f t="shared" si="23"/>
        <v>2003</v>
      </c>
      <c r="AQ84" s="277">
        <f t="shared" si="24"/>
        <v>2003.1666666666667</v>
      </c>
      <c r="AR84" s="278">
        <f t="shared" si="25"/>
        <v>47.274999999999999</v>
      </c>
      <c r="AS84" s="279">
        <f t="shared" si="26"/>
        <v>567.29999999999995</v>
      </c>
      <c r="AT84" s="279">
        <f t="shared" si="27"/>
        <v>0</v>
      </c>
      <c r="AU84" s="279">
        <f t="shared" si="28"/>
        <v>8509.5</v>
      </c>
      <c r="AV84" s="279">
        <f t="shared" si="29"/>
        <v>8509.5</v>
      </c>
      <c r="AW84" s="280">
        <f t="shared" si="30"/>
        <v>0</v>
      </c>
      <c r="AX84" s="281" t="s">
        <v>77</v>
      </c>
    </row>
    <row r="85" spans="2:50">
      <c r="B85" s="157">
        <v>2149</v>
      </c>
      <c r="C85" s="158">
        <v>307812</v>
      </c>
      <c r="D85" s="157" t="s">
        <v>433</v>
      </c>
      <c r="E85" s="159" t="s">
        <v>1626</v>
      </c>
      <c r="F85" s="160" t="s">
        <v>1767</v>
      </c>
      <c r="G85" s="160"/>
      <c r="H85" s="160"/>
      <c r="I85" s="157">
        <v>4</v>
      </c>
      <c r="J85" s="159"/>
      <c r="K85" s="157">
        <v>0</v>
      </c>
      <c r="L85" s="159" t="s">
        <v>1032</v>
      </c>
      <c r="M85" s="159"/>
      <c r="N85" s="159" t="s">
        <v>646</v>
      </c>
      <c r="O85" s="159" t="s">
        <v>1789</v>
      </c>
      <c r="P85" s="159"/>
      <c r="Q85" s="159" t="s">
        <v>1792</v>
      </c>
      <c r="R85" s="159" t="s">
        <v>1791</v>
      </c>
      <c r="S85" s="161">
        <v>41761</v>
      </c>
      <c r="T85" s="161">
        <v>41761</v>
      </c>
      <c r="U85" s="159" t="s">
        <v>1768</v>
      </c>
      <c r="V85" s="157">
        <v>1200</v>
      </c>
      <c r="W85" s="157">
        <v>14050</v>
      </c>
      <c r="X85" s="162">
        <v>2018.84</v>
      </c>
      <c r="Y85" s="157">
        <v>14056</v>
      </c>
      <c r="Z85" s="162">
        <v>1682.37</v>
      </c>
      <c r="AA85" s="162">
        <v>336.47</v>
      </c>
      <c r="AB85" s="162">
        <v>56.08</v>
      </c>
      <c r="AC85" s="157">
        <v>54260</v>
      </c>
      <c r="AD85" s="162">
        <v>14.02</v>
      </c>
      <c r="AE85" s="157" t="s">
        <v>433</v>
      </c>
      <c r="AF85" s="159"/>
      <c r="AG85" s="159"/>
      <c r="AH85" s="159" t="s">
        <v>2</v>
      </c>
      <c r="AI85" s="159" t="s">
        <v>1785</v>
      </c>
      <c r="AJ85" s="159" t="s">
        <v>1787</v>
      </c>
      <c r="AK85" s="159">
        <v>0</v>
      </c>
      <c r="AL85" s="159" t="s">
        <v>16</v>
      </c>
      <c r="AM85" s="159" t="s">
        <v>16</v>
      </c>
      <c r="AN85" s="275">
        <f t="shared" si="21"/>
        <v>5</v>
      </c>
      <c r="AO85" s="275">
        <f t="shared" si="22"/>
        <v>2014</v>
      </c>
      <c r="AP85" s="276">
        <f t="shared" si="23"/>
        <v>2026</v>
      </c>
      <c r="AQ85" s="277">
        <f t="shared" si="24"/>
        <v>2026.4166666666667</v>
      </c>
      <c r="AR85" s="278">
        <f t="shared" si="25"/>
        <v>14.019722222222221</v>
      </c>
      <c r="AS85" s="279">
        <f t="shared" si="26"/>
        <v>168.23666666666665</v>
      </c>
      <c r="AT85" s="279">
        <f t="shared" si="27"/>
        <v>168.23666666666665</v>
      </c>
      <c r="AU85" s="279">
        <f t="shared" si="28"/>
        <v>1486.0905555555428</v>
      </c>
      <c r="AV85" s="279">
        <f t="shared" si="29"/>
        <v>1654.3272222222095</v>
      </c>
      <c r="AW85" s="280">
        <f t="shared" si="30"/>
        <v>364.51277777779046</v>
      </c>
      <c r="AX85" s="281" t="s">
        <v>77</v>
      </c>
    </row>
    <row r="86" spans="2:50">
      <c r="B86" s="157">
        <v>2149</v>
      </c>
      <c r="C86" s="158">
        <v>307800</v>
      </c>
      <c r="D86" s="157" t="s">
        <v>433</v>
      </c>
      <c r="E86" s="159" t="s">
        <v>1626</v>
      </c>
      <c r="F86" s="160" t="s">
        <v>1769</v>
      </c>
      <c r="G86" s="160"/>
      <c r="H86" s="160"/>
      <c r="I86" s="157">
        <v>15</v>
      </c>
      <c r="J86" s="159"/>
      <c r="K86" s="157">
        <v>0</v>
      </c>
      <c r="L86" s="159" t="s">
        <v>986</v>
      </c>
      <c r="M86" s="159"/>
      <c r="N86" s="159" t="s">
        <v>646</v>
      </c>
      <c r="O86" s="159" t="s">
        <v>1789</v>
      </c>
      <c r="P86" s="159"/>
      <c r="Q86" s="159" t="s">
        <v>1792</v>
      </c>
      <c r="R86" s="159" t="s">
        <v>1791</v>
      </c>
      <c r="S86" s="161">
        <v>41128</v>
      </c>
      <c r="T86" s="161">
        <v>41128</v>
      </c>
      <c r="U86" s="159" t="s">
        <v>1770</v>
      </c>
      <c r="V86" s="157">
        <v>1200</v>
      </c>
      <c r="W86" s="157">
        <v>14050</v>
      </c>
      <c r="X86" s="162">
        <v>1018.88</v>
      </c>
      <c r="Y86" s="157">
        <v>14056</v>
      </c>
      <c r="Z86" s="162">
        <v>997.67</v>
      </c>
      <c r="AA86" s="162">
        <v>21.210000000000036</v>
      </c>
      <c r="AB86" s="162">
        <v>28.32</v>
      </c>
      <c r="AC86" s="157">
        <v>54260</v>
      </c>
      <c r="AD86" s="162">
        <v>7.08</v>
      </c>
      <c r="AE86" s="157" t="s">
        <v>433</v>
      </c>
      <c r="AF86" s="159"/>
      <c r="AG86" s="159"/>
      <c r="AH86" s="159" t="s">
        <v>2</v>
      </c>
      <c r="AI86" s="159" t="s">
        <v>1785</v>
      </c>
      <c r="AJ86" s="159" t="s">
        <v>1787</v>
      </c>
      <c r="AK86" s="159">
        <v>0</v>
      </c>
      <c r="AL86" s="159" t="s">
        <v>16</v>
      </c>
      <c r="AM86" s="159" t="s">
        <v>16</v>
      </c>
      <c r="AN86" s="275">
        <f t="shared" si="21"/>
        <v>8</v>
      </c>
      <c r="AO86" s="275">
        <f t="shared" si="22"/>
        <v>2012</v>
      </c>
      <c r="AP86" s="276">
        <f t="shared" si="23"/>
        <v>2024</v>
      </c>
      <c r="AQ86" s="277">
        <f t="shared" si="24"/>
        <v>2024.6666666666667</v>
      </c>
      <c r="AR86" s="278">
        <f t="shared" si="25"/>
        <v>7.0755555555555558</v>
      </c>
      <c r="AS86" s="279">
        <f t="shared" si="26"/>
        <v>84.906666666666666</v>
      </c>
      <c r="AT86" s="279">
        <f t="shared" si="27"/>
        <v>84.906666666666666</v>
      </c>
      <c r="AU86" s="279">
        <f t="shared" si="28"/>
        <v>898.59555555554914</v>
      </c>
      <c r="AV86" s="279">
        <f t="shared" si="29"/>
        <v>983.50222222221578</v>
      </c>
      <c r="AW86" s="280">
        <f t="shared" si="30"/>
        <v>35.377777777784218</v>
      </c>
      <c r="AX86" s="281" t="s">
        <v>77</v>
      </c>
    </row>
    <row r="87" spans="2:50">
      <c r="B87" s="157">
        <v>2149</v>
      </c>
      <c r="C87" s="158">
        <v>307597</v>
      </c>
      <c r="D87" s="157" t="s">
        <v>433</v>
      </c>
      <c r="E87" s="159" t="s">
        <v>1626</v>
      </c>
      <c r="F87" s="160" t="s">
        <v>1771</v>
      </c>
      <c r="G87" s="160"/>
      <c r="H87" s="160"/>
      <c r="I87" s="157">
        <v>25</v>
      </c>
      <c r="J87" s="159"/>
      <c r="K87" s="157">
        <v>0</v>
      </c>
      <c r="L87" s="159" t="s">
        <v>1772</v>
      </c>
      <c r="M87" s="159"/>
      <c r="N87" s="159" t="s">
        <v>646</v>
      </c>
      <c r="O87" s="159" t="s">
        <v>1789</v>
      </c>
      <c r="P87" s="159"/>
      <c r="Q87" s="159" t="s">
        <v>1792</v>
      </c>
      <c r="R87" s="159" t="s">
        <v>1815</v>
      </c>
      <c r="S87" s="161">
        <v>40346</v>
      </c>
      <c r="T87" s="161">
        <v>40346</v>
      </c>
      <c r="U87" s="159" t="s">
        <v>1773</v>
      </c>
      <c r="V87" s="157">
        <v>700</v>
      </c>
      <c r="W87" s="157">
        <v>14050</v>
      </c>
      <c r="X87" s="162">
        <v>1096.6400000000001</v>
      </c>
      <c r="Y87" s="157">
        <v>14056</v>
      </c>
      <c r="Z87" s="162">
        <v>1096.6400000000001</v>
      </c>
      <c r="AA87" s="162">
        <v>0</v>
      </c>
      <c r="AB87" s="162">
        <v>0</v>
      </c>
      <c r="AC87" s="157">
        <v>54260</v>
      </c>
      <c r="AD87" s="162">
        <v>0</v>
      </c>
      <c r="AE87" s="157" t="s">
        <v>433</v>
      </c>
      <c r="AF87" s="159"/>
      <c r="AG87" s="159"/>
      <c r="AH87" s="159" t="s">
        <v>2</v>
      </c>
      <c r="AI87" s="159" t="s">
        <v>1785</v>
      </c>
      <c r="AJ87" s="159" t="s">
        <v>1787</v>
      </c>
      <c r="AK87" s="159">
        <v>0</v>
      </c>
      <c r="AL87" s="159" t="s">
        <v>16</v>
      </c>
      <c r="AM87" s="159" t="s">
        <v>16</v>
      </c>
      <c r="AN87" s="275">
        <f t="shared" si="21"/>
        <v>6</v>
      </c>
      <c r="AO87" s="275">
        <f t="shared" si="22"/>
        <v>2010</v>
      </c>
      <c r="AP87" s="276">
        <f t="shared" si="23"/>
        <v>2017</v>
      </c>
      <c r="AQ87" s="277">
        <f t="shared" si="24"/>
        <v>2017.5</v>
      </c>
      <c r="AR87" s="278">
        <f t="shared" si="25"/>
        <v>13.055238095238096</v>
      </c>
      <c r="AS87" s="279">
        <f t="shared" si="26"/>
        <v>156.66285714285715</v>
      </c>
      <c r="AT87" s="279">
        <f t="shared" si="27"/>
        <v>0</v>
      </c>
      <c r="AU87" s="279">
        <f t="shared" si="28"/>
        <v>1096.6400000000001</v>
      </c>
      <c r="AV87" s="279">
        <f t="shared" si="29"/>
        <v>1096.6400000000001</v>
      </c>
      <c r="AW87" s="280">
        <f t="shared" si="30"/>
        <v>0</v>
      </c>
      <c r="AX87" s="281" t="s">
        <v>77</v>
      </c>
    </row>
    <row r="88" spans="2:50">
      <c r="B88" s="157">
        <v>2149</v>
      </c>
      <c r="C88" s="158">
        <v>306816</v>
      </c>
      <c r="D88" s="157" t="s">
        <v>433</v>
      </c>
      <c r="E88" s="159" t="s">
        <v>1626</v>
      </c>
      <c r="F88" s="160" t="s">
        <v>467</v>
      </c>
      <c r="G88" s="160"/>
      <c r="H88" s="160"/>
      <c r="I88" s="157">
        <v>13</v>
      </c>
      <c r="J88" s="159"/>
      <c r="K88" s="157">
        <v>0</v>
      </c>
      <c r="L88" s="159" t="s">
        <v>1326</v>
      </c>
      <c r="M88" s="159"/>
      <c r="N88" s="159" t="s">
        <v>646</v>
      </c>
      <c r="O88" s="159" t="s">
        <v>1789</v>
      </c>
      <c r="P88" s="159"/>
      <c r="Q88" s="159" t="s">
        <v>1792</v>
      </c>
      <c r="R88" s="159" t="s">
        <v>1791</v>
      </c>
      <c r="S88" s="161">
        <v>40332</v>
      </c>
      <c r="T88" s="161">
        <v>40332</v>
      </c>
      <c r="U88" s="159" t="s">
        <v>1774</v>
      </c>
      <c r="V88" s="157">
        <v>1200</v>
      </c>
      <c r="W88" s="157">
        <v>14050</v>
      </c>
      <c r="X88" s="162">
        <v>6771.14</v>
      </c>
      <c r="Y88" s="157">
        <v>14056</v>
      </c>
      <c r="Z88" s="162">
        <v>6771.14</v>
      </c>
      <c r="AA88" s="162">
        <v>0</v>
      </c>
      <c r="AB88" s="162">
        <v>0</v>
      </c>
      <c r="AC88" s="157">
        <v>54260</v>
      </c>
      <c r="AD88" s="162">
        <v>0</v>
      </c>
      <c r="AE88" s="157" t="s">
        <v>433</v>
      </c>
      <c r="AF88" s="159"/>
      <c r="AG88" s="159"/>
      <c r="AH88" s="159" t="s">
        <v>2</v>
      </c>
      <c r="AI88" s="159" t="s">
        <v>1785</v>
      </c>
      <c r="AJ88" s="159" t="s">
        <v>1787</v>
      </c>
      <c r="AK88" s="159">
        <v>0</v>
      </c>
      <c r="AL88" s="159" t="s">
        <v>16</v>
      </c>
      <c r="AM88" s="159" t="s">
        <v>16</v>
      </c>
      <c r="AN88" s="275">
        <f t="shared" si="21"/>
        <v>6</v>
      </c>
      <c r="AO88" s="275">
        <f t="shared" si="22"/>
        <v>2010</v>
      </c>
      <c r="AP88" s="276">
        <f t="shared" si="23"/>
        <v>2022</v>
      </c>
      <c r="AQ88" s="277">
        <f t="shared" si="24"/>
        <v>2022.5</v>
      </c>
      <c r="AR88" s="278">
        <f t="shared" si="25"/>
        <v>47.021805555555552</v>
      </c>
      <c r="AS88" s="279">
        <f t="shared" si="26"/>
        <v>564.26166666666666</v>
      </c>
      <c r="AT88" s="279">
        <f t="shared" si="27"/>
        <v>0</v>
      </c>
      <c r="AU88" s="279">
        <f t="shared" si="28"/>
        <v>6771.14</v>
      </c>
      <c r="AV88" s="279">
        <f t="shared" si="29"/>
        <v>6771.14</v>
      </c>
      <c r="AW88" s="280">
        <f t="shared" si="30"/>
        <v>0</v>
      </c>
      <c r="AX88" s="281" t="s">
        <v>77</v>
      </c>
    </row>
    <row r="89" spans="2:50">
      <c r="B89" s="157">
        <v>2149</v>
      </c>
      <c r="C89" s="158">
        <v>306815</v>
      </c>
      <c r="D89" s="157" t="s">
        <v>433</v>
      </c>
      <c r="E89" s="159" t="s">
        <v>1626</v>
      </c>
      <c r="F89" s="160" t="s">
        <v>467</v>
      </c>
      <c r="G89" s="160"/>
      <c r="H89" s="160"/>
      <c r="I89" s="157">
        <v>45</v>
      </c>
      <c r="J89" s="159"/>
      <c r="K89" s="157">
        <v>0</v>
      </c>
      <c r="L89" s="159" t="s">
        <v>791</v>
      </c>
      <c r="M89" s="159"/>
      <c r="N89" s="159" t="s">
        <v>646</v>
      </c>
      <c r="O89" s="159" t="s">
        <v>1789</v>
      </c>
      <c r="P89" s="159"/>
      <c r="Q89" s="159" t="s">
        <v>1792</v>
      </c>
      <c r="R89" s="159" t="s">
        <v>1791</v>
      </c>
      <c r="S89" s="161">
        <v>40847</v>
      </c>
      <c r="T89" s="161">
        <v>40847</v>
      </c>
      <c r="U89" s="159" t="s">
        <v>1775</v>
      </c>
      <c r="V89" s="157">
        <v>1200</v>
      </c>
      <c r="W89" s="157">
        <v>14050</v>
      </c>
      <c r="X89" s="162">
        <v>23953.1</v>
      </c>
      <c r="Y89" s="157">
        <v>14056</v>
      </c>
      <c r="Z89" s="162">
        <v>23953.1</v>
      </c>
      <c r="AA89" s="162">
        <v>0</v>
      </c>
      <c r="AB89" s="162">
        <v>0</v>
      </c>
      <c r="AC89" s="157">
        <v>54260</v>
      </c>
      <c r="AD89" s="162">
        <v>0</v>
      </c>
      <c r="AE89" s="157" t="s">
        <v>433</v>
      </c>
      <c r="AF89" s="159"/>
      <c r="AG89" s="159"/>
      <c r="AH89" s="159" t="s">
        <v>2</v>
      </c>
      <c r="AI89" s="159" t="s">
        <v>1785</v>
      </c>
      <c r="AJ89" s="159" t="s">
        <v>1787</v>
      </c>
      <c r="AK89" s="159">
        <v>0</v>
      </c>
      <c r="AL89" s="159" t="s">
        <v>16</v>
      </c>
      <c r="AM89" s="159" t="s">
        <v>16</v>
      </c>
      <c r="AN89" s="275">
        <f t="shared" si="21"/>
        <v>10</v>
      </c>
      <c r="AO89" s="275">
        <f t="shared" si="22"/>
        <v>2011</v>
      </c>
      <c r="AP89" s="276">
        <f t="shared" si="23"/>
        <v>2023</v>
      </c>
      <c r="AQ89" s="277">
        <f t="shared" si="24"/>
        <v>2023.8333333333333</v>
      </c>
      <c r="AR89" s="278">
        <f t="shared" si="25"/>
        <v>166.34097222222221</v>
      </c>
      <c r="AS89" s="279">
        <f t="shared" si="26"/>
        <v>1996.0916666666665</v>
      </c>
      <c r="AT89" s="279">
        <f t="shared" si="27"/>
        <v>0</v>
      </c>
      <c r="AU89" s="279">
        <f t="shared" si="28"/>
        <v>22788.713194444594</v>
      </c>
      <c r="AV89" s="279">
        <f t="shared" si="29"/>
        <v>23953.1</v>
      </c>
      <c r="AW89" s="280">
        <f t="shared" si="30"/>
        <v>0</v>
      </c>
      <c r="AX89" s="281" t="s">
        <v>77</v>
      </c>
    </row>
    <row r="90" spans="2:50">
      <c r="B90" s="157">
        <v>2149</v>
      </c>
      <c r="C90" s="158">
        <v>306814</v>
      </c>
      <c r="D90" s="157" t="s">
        <v>433</v>
      </c>
      <c r="E90" s="159" t="s">
        <v>1626</v>
      </c>
      <c r="F90" s="160" t="s">
        <v>1776</v>
      </c>
      <c r="G90" s="160"/>
      <c r="H90" s="160"/>
      <c r="I90" s="157">
        <v>2</v>
      </c>
      <c r="J90" s="159"/>
      <c r="K90" s="157">
        <v>0</v>
      </c>
      <c r="L90" s="159"/>
      <c r="M90" s="159"/>
      <c r="N90" s="159" t="s">
        <v>646</v>
      </c>
      <c r="O90" s="159" t="s">
        <v>1789</v>
      </c>
      <c r="P90" s="159"/>
      <c r="Q90" s="159" t="s">
        <v>1827</v>
      </c>
      <c r="R90" s="159" t="s">
        <v>1794</v>
      </c>
      <c r="S90" s="161">
        <v>39755</v>
      </c>
      <c r="T90" s="161">
        <v>39755</v>
      </c>
      <c r="U90" s="159"/>
      <c r="V90" s="157">
        <v>700</v>
      </c>
      <c r="W90" s="157">
        <v>14050</v>
      </c>
      <c r="X90" s="162">
        <v>18500</v>
      </c>
      <c r="Y90" s="157">
        <v>14056</v>
      </c>
      <c r="Z90" s="162">
        <v>18500</v>
      </c>
      <c r="AA90" s="162">
        <v>0</v>
      </c>
      <c r="AB90" s="162">
        <v>0</v>
      </c>
      <c r="AC90" s="157">
        <v>54260</v>
      </c>
      <c r="AD90" s="162">
        <v>0</v>
      </c>
      <c r="AE90" s="157" t="s">
        <v>663</v>
      </c>
      <c r="AF90" s="159" t="s">
        <v>905</v>
      </c>
      <c r="AG90" s="159" t="s">
        <v>1212</v>
      </c>
      <c r="AH90" s="159" t="s">
        <v>2</v>
      </c>
      <c r="AI90" s="159" t="s">
        <v>1785</v>
      </c>
      <c r="AJ90" s="159" t="s">
        <v>1787</v>
      </c>
      <c r="AK90" s="159">
        <v>0</v>
      </c>
      <c r="AL90" s="159" t="s">
        <v>16</v>
      </c>
      <c r="AM90" s="159" t="s">
        <v>17</v>
      </c>
      <c r="AN90" s="275">
        <f t="shared" si="21"/>
        <v>11</v>
      </c>
      <c r="AO90" s="275">
        <f t="shared" si="22"/>
        <v>2008</v>
      </c>
      <c r="AP90" s="276">
        <f t="shared" si="23"/>
        <v>2015</v>
      </c>
      <c r="AQ90" s="277">
        <f t="shared" si="24"/>
        <v>2015.9166666666667</v>
      </c>
      <c r="AR90" s="278">
        <f t="shared" si="25"/>
        <v>220.23809523809521</v>
      </c>
      <c r="AS90" s="279">
        <f t="shared" si="26"/>
        <v>2642.8571428571427</v>
      </c>
      <c r="AT90" s="279">
        <f t="shared" si="27"/>
        <v>0</v>
      </c>
      <c r="AU90" s="279">
        <f t="shared" si="28"/>
        <v>18500</v>
      </c>
      <c r="AV90" s="279">
        <f t="shared" si="29"/>
        <v>18500</v>
      </c>
      <c r="AW90" s="280">
        <f t="shared" si="30"/>
        <v>0</v>
      </c>
      <c r="AX90" s="281" t="s">
        <v>77</v>
      </c>
    </row>
    <row r="91" spans="2:50">
      <c r="B91" s="157">
        <v>2149</v>
      </c>
      <c r="C91" s="158">
        <v>306813</v>
      </c>
      <c r="D91" s="157" t="s">
        <v>433</v>
      </c>
      <c r="E91" s="159" t="s">
        <v>1626</v>
      </c>
      <c r="F91" s="160" t="s">
        <v>1777</v>
      </c>
      <c r="G91" s="160"/>
      <c r="H91" s="160"/>
      <c r="I91" s="157">
        <v>3</v>
      </c>
      <c r="J91" s="159">
        <v>0</v>
      </c>
      <c r="K91" s="157">
        <v>0</v>
      </c>
      <c r="L91" s="159" t="s">
        <v>791</v>
      </c>
      <c r="M91" s="159"/>
      <c r="N91" s="159" t="s">
        <v>646</v>
      </c>
      <c r="O91" s="159" t="s">
        <v>1789</v>
      </c>
      <c r="P91" s="159"/>
      <c r="Q91" s="159" t="s">
        <v>1796</v>
      </c>
      <c r="R91" s="159" t="s">
        <v>1794</v>
      </c>
      <c r="S91" s="161">
        <v>39009</v>
      </c>
      <c r="T91" s="161">
        <v>39009</v>
      </c>
      <c r="U91" s="159" t="s">
        <v>1778</v>
      </c>
      <c r="V91" s="157">
        <v>1200</v>
      </c>
      <c r="W91" s="157">
        <v>14050</v>
      </c>
      <c r="X91" s="162">
        <v>15079.68</v>
      </c>
      <c r="Y91" s="157">
        <v>14056</v>
      </c>
      <c r="Z91" s="162">
        <v>15079.68</v>
      </c>
      <c r="AA91" s="162">
        <v>0</v>
      </c>
      <c r="AB91" s="162">
        <v>0</v>
      </c>
      <c r="AC91" s="157">
        <v>54260</v>
      </c>
      <c r="AD91" s="162">
        <v>0</v>
      </c>
      <c r="AE91" s="157" t="s">
        <v>433</v>
      </c>
      <c r="AF91" s="159"/>
      <c r="AG91" s="159"/>
      <c r="AH91" s="159" t="s">
        <v>2</v>
      </c>
      <c r="AI91" s="159" t="s">
        <v>1785</v>
      </c>
      <c r="AJ91" s="159" t="s">
        <v>1787</v>
      </c>
      <c r="AK91" s="159">
        <v>0</v>
      </c>
      <c r="AL91" s="159" t="s">
        <v>17</v>
      </c>
      <c r="AM91" s="159" t="s">
        <v>17</v>
      </c>
      <c r="AN91" s="275">
        <f t="shared" si="21"/>
        <v>10</v>
      </c>
      <c r="AO91" s="275">
        <f t="shared" si="22"/>
        <v>2006</v>
      </c>
      <c r="AP91" s="276">
        <f t="shared" si="23"/>
        <v>2018</v>
      </c>
      <c r="AQ91" s="277">
        <f t="shared" si="24"/>
        <v>2018.8333333333333</v>
      </c>
      <c r="AR91" s="278">
        <f t="shared" si="25"/>
        <v>104.72000000000001</v>
      </c>
      <c r="AS91" s="279">
        <f t="shared" si="26"/>
        <v>1256.6400000000001</v>
      </c>
      <c r="AT91" s="279">
        <f t="shared" si="27"/>
        <v>0</v>
      </c>
      <c r="AU91" s="279">
        <f t="shared" si="28"/>
        <v>15079.68</v>
      </c>
      <c r="AV91" s="279">
        <f t="shared" si="29"/>
        <v>15079.68</v>
      </c>
      <c r="AW91" s="280">
        <f t="shared" si="30"/>
        <v>0</v>
      </c>
      <c r="AX91" s="281" t="s">
        <v>77</v>
      </c>
    </row>
    <row r="92" spans="2:50">
      <c r="B92" s="157">
        <v>2149</v>
      </c>
      <c r="C92" s="158">
        <v>305969</v>
      </c>
      <c r="D92" s="157" t="s">
        <v>433</v>
      </c>
      <c r="E92" s="159" t="s">
        <v>1626</v>
      </c>
      <c r="F92" s="160" t="s">
        <v>1595</v>
      </c>
      <c r="G92" s="160"/>
      <c r="H92" s="160"/>
      <c r="I92" s="157">
        <v>702</v>
      </c>
      <c r="J92" s="159"/>
      <c r="K92" s="157">
        <v>0</v>
      </c>
      <c r="L92" s="159" t="s">
        <v>1596</v>
      </c>
      <c r="M92" s="159"/>
      <c r="N92" s="159" t="s">
        <v>646</v>
      </c>
      <c r="O92" s="159" t="s">
        <v>1789</v>
      </c>
      <c r="P92" s="159"/>
      <c r="Q92" s="159"/>
      <c r="R92" s="159"/>
      <c r="S92" s="161">
        <v>45069</v>
      </c>
      <c r="T92" s="161">
        <v>45069</v>
      </c>
      <c r="U92" s="159" t="s">
        <v>1597</v>
      </c>
      <c r="V92" s="157">
        <v>700</v>
      </c>
      <c r="W92" s="157">
        <v>14050</v>
      </c>
      <c r="X92" s="162">
        <v>44321.58</v>
      </c>
      <c r="Y92" s="157">
        <v>14056</v>
      </c>
      <c r="Z92" s="162">
        <v>5804.03</v>
      </c>
      <c r="AA92" s="162">
        <v>38517.550000000003</v>
      </c>
      <c r="AB92" s="162">
        <v>2110.56</v>
      </c>
      <c r="AC92" s="157">
        <v>54260</v>
      </c>
      <c r="AD92" s="162">
        <v>527.64</v>
      </c>
      <c r="AE92" s="157" t="s">
        <v>433</v>
      </c>
      <c r="AF92" s="159"/>
      <c r="AG92" s="159"/>
      <c r="AH92" s="159" t="s">
        <v>2</v>
      </c>
      <c r="AI92" s="159" t="s">
        <v>1785</v>
      </c>
      <c r="AJ92" s="159" t="s">
        <v>1787</v>
      </c>
      <c r="AK92" s="159">
        <v>0</v>
      </c>
      <c r="AL92" s="274" t="s">
        <v>1603</v>
      </c>
      <c r="AM92" s="274" t="s">
        <v>1603</v>
      </c>
      <c r="AN92" s="275">
        <f t="shared" si="21"/>
        <v>5</v>
      </c>
      <c r="AO92" s="275">
        <f t="shared" si="22"/>
        <v>2023</v>
      </c>
      <c r="AP92" s="276">
        <f t="shared" si="23"/>
        <v>2030</v>
      </c>
      <c r="AQ92" s="277">
        <f t="shared" si="24"/>
        <v>2030.4166666666667</v>
      </c>
      <c r="AR92" s="278">
        <f t="shared" si="25"/>
        <v>527.63785714285711</v>
      </c>
      <c r="AS92" s="279">
        <f t="shared" si="26"/>
        <v>6331.6542857142849</v>
      </c>
      <c r="AT92" s="279">
        <f t="shared" si="27"/>
        <v>6331.6542857142849</v>
      </c>
      <c r="AU92" s="279">
        <f t="shared" si="28"/>
        <v>0</v>
      </c>
      <c r="AV92" s="279">
        <f t="shared" si="29"/>
        <v>6331.6542857142849</v>
      </c>
      <c r="AW92" s="280">
        <f t="shared" si="30"/>
        <v>37989.925714285717</v>
      </c>
      <c r="AX92" s="281" t="s">
        <v>77</v>
      </c>
    </row>
    <row r="93" spans="2:50">
      <c r="B93" s="157">
        <v>2149</v>
      </c>
      <c r="C93" s="158">
        <v>305401</v>
      </c>
      <c r="D93" s="157" t="s">
        <v>433</v>
      </c>
      <c r="E93" s="159" t="s">
        <v>1626</v>
      </c>
      <c r="F93" s="160" t="s">
        <v>1243</v>
      </c>
      <c r="G93" s="160"/>
      <c r="H93" s="160"/>
      <c r="I93" s="157">
        <v>15</v>
      </c>
      <c r="J93" s="159"/>
      <c r="K93" s="157">
        <v>0</v>
      </c>
      <c r="L93" s="159" t="s">
        <v>1592</v>
      </c>
      <c r="M93" s="159"/>
      <c r="N93" s="159" t="s">
        <v>646</v>
      </c>
      <c r="O93" s="159" t="s">
        <v>1789</v>
      </c>
      <c r="P93" s="159"/>
      <c r="Q93" s="159" t="s">
        <v>1792</v>
      </c>
      <c r="R93" s="159" t="s">
        <v>1791</v>
      </c>
      <c r="S93" s="161">
        <v>45012</v>
      </c>
      <c r="T93" s="161">
        <v>45012</v>
      </c>
      <c r="U93" s="159" t="s">
        <v>1593</v>
      </c>
      <c r="V93" s="157">
        <v>1200</v>
      </c>
      <c r="W93" s="157">
        <v>14050</v>
      </c>
      <c r="X93" s="162">
        <v>12750</v>
      </c>
      <c r="Y93" s="157">
        <v>14056</v>
      </c>
      <c r="Z93" s="162">
        <v>1151.04</v>
      </c>
      <c r="AA93" s="162">
        <v>11598.96</v>
      </c>
      <c r="AB93" s="162">
        <v>354.16</v>
      </c>
      <c r="AC93" s="157">
        <v>54260</v>
      </c>
      <c r="AD93" s="162">
        <v>88.54</v>
      </c>
      <c r="AE93" s="157" t="s">
        <v>433</v>
      </c>
      <c r="AF93" s="159"/>
      <c r="AG93" s="159"/>
      <c r="AH93" s="159" t="s">
        <v>2</v>
      </c>
      <c r="AI93" s="159" t="s">
        <v>1785</v>
      </c>
      <c r="AJ93" s="159" t="s">
        <v>1787</v>
      </c>
      <c r="AK93" s="159">
        <v>0</v>
      </c>
      <c r="AL93" s="159" t="s">
        <v>16</v>
      </c>
      <c r="AM93" s="159" t="s">
        <v>16</v>
      </c>
      <c r="AN93" s="275">
        <f t="shared" si="21"/>
        <v>3</v>
      </c>
      <c r="AO93" s="275">
        <f t="shared" si="22"/>
        <v>2023</v>
      </c>
      <c r="AP93" s="276">
        <f t="shared" si="23"/>
        <v>2035</v>
      </c>
      <c r="AQ93" s="277">
        <f t="shared" si="24"/>
        <v>2035.25</v>
      </c>
      <c r="AR93" s="278">
        <f t="shared" si="25"/>
        <v>88.541666666666671</v>
      </c>
      <c r="AS93" s="279">
        <f t="shared" si="26"/>
        <v>1062.5</v>
      </c>
      <c r="AT93" s="279">
        <f t="shared" si="27"/>
        <v>1062.5</v>
      </c>
      <c r="AU93" s="279">
        <f t="shared" si="28"/>
        <v>0</v>
      </c>
      <c r="AV93" s="279">
        <f t="shared" si="29"/>
        <v>1062.5</v>
      </c>
      <c r="AW93" s="280">
        <f t="shared" si="30"/>
        <v>11687.5</v>
      </c>
      <c r="AX93" s="281" t="s">
        <v>77</v>
      </c>
    </row>
    <row r="94" spans="2:50">
      <c r="B94" s="157">
        <v>2149</v>
      </c>
      <c r="C94" s="158">
        <v>305306</v>
      </c>
      <c r="D94" s="157" t="s">
        <v>433</v>
      </c>
      <c r="E94" s="159" t="s">
        <v>1626</v>
      </c>
      <c r="F94" s="160" t="s">
        <v>1594</v>
      </c>
      <c r="G94" s="160"/>
      <c r="H94" s="160"/>
      <c r="I94" s="157">
        <v>3</v>
      </c>
      <c r="J94" s="159"/>
      <c r="K94" s="157">
        <v>0</v>
      </c>
      <c r="L94" s="159" t="s">
        <v>1592</v>
      </c>
      <c r="M94" s="159"/>
      <c r="N94" s="159" t="s">
        <v>646</v>
      </c>
      <c r="O94" s="159" t="s">
        <v>1789</v>
      </c>
      <c r="P94" s="159"/>
      <c r="Q94" s="159" t="s">
        <v>1796</v>
      </c>
      <c r="R94" s="159" t="s">
        <v>1794</v>
      </c>
      <c r="S94" s="161">
        <v>45051</v>
      </c>
      <c r="T94" s="161">
        <v>45051</v>
      </c>
      <c r="U94" s="159" t="s">
        <v>1593</v>
      </c>
      <c r="V94" s="157">
        <v>1200</v>
      </c>
      <c r="W94" s="157">
        <v>14050</v>
      </c>
      <c r="X94" s="162">
        <v>19350</v>
      </c>
      <c r="Y94" s="157">
        <v>14056</v>
      </c>
      <c r="Z94" s="162">
        <v>1612.52</v>
      </c>
      <c r="AA94" s="162">
        <v>17737.48</v>
      </c>
      <c r="AB94" s="162">
        <v>537.52</v>
      </c>
      <c r="AC94" s="157">
        <v>54260</v>
      </c>
      <c r="AD94" s="162">
        <v>134.38</v>
      </c>
      <c r="AE94" s="157" t="s">
        <v>433</v>
      </c>
      <c r="AF94" s="159"/>
      <c r="AG94" s="159"/>
      <c r="AH94" s="159" t="s">
        <v>2</v>
      </c>
      <c r="AI94" s="159" t="s">
        <v>1785</v>
      </c>
      <c r="AJ94" s="159" t="s">
        <v>1787</v>
      </c>
      <c r="AK94" s="159">
        <v>0</v>
      </c>
      <c r="AL94" s="159" t="s">
        <v>17</v>
      </c>
      <c r="AM94" s="159" t="s">
        <v>17</v>
      </c>
      <c r="AN94" s="275">
        <f t="shared" si="21"/>
        <v>5</v>
      </c>
      <c r="AO94" s="275">
        <f t="shared" si="22"/>
        <v>2023</v>
      </c>
      <c r="AP94" s="276">
        <f t="shared" si="23"/>
        <v>2035</v>
      </c>
      <c r="AQ94" s="277">
        <f t="shared" si="24"/>
        <v>2035.4166666666667</v>
      </c>
      <c r="AR94" s="278">
        <f t="shared" si="25"/>
        <v>134.375</v>
      </c>
      <c r="AS94" s="279">
        <f t="shared" si="26"/>
        <v>1612.5</v>
      </c>
      <c r="AT94" s="279">
        <f t="shared" si="27"/>
        <v>1612.5</v>
      </c>
      <c r="AU94" s="279">
        <f t="shared" si="28"/>
        <v>0</v>
      </c>
      <c r="AV94" s="279">
        <f t="shared" si="29"/>
        <v>1612.5</v>
      </c>
      <c r="AW94" s="280">
        <f t="shared" si="30"/>
        <v>17737.5</v>
      </c>
      <c r="AX94" s="281" t="s">
        <v>77</v>
      </c>
    </row>
    <row r="95" spans="2:50">
      <c r="B95" s="157">
        <v>2149</v>
      </c>
      <c r="C95" s="158">
        <v>305305</v>
      </c>
      <c r="D95" s="157" t="s">
        <v>433</v>
      </c>
      <c r="E95" s="159" t="s">
        <v>1626</v>
      </c>
      <c r="F95" s="160" t="s">
        <v>1594</v>
      </c>
      <c r="G95" s="160"/>
      <c r="H95" s="160"/>
      <c r="I95" s="157">
        <v>3</v>
      </c>
      <c r="J95" s="159"/>
      <c r="K95" s="157">
        <v>0</v>
      </c>
      <c r="L95" s="159" t="s">
        <v>1592</v>
      </c>
      <c r="M95" s="159"/>
      <c r="N95" s="159" t="s">
        <v>646</v>
      </c>
      <c r="O95" s="159" t="s">
        <v>1789</v>
      </c>
      <c r="P95" s="159"/>
      <c r="Q95" s="159" t="s">
        <v>1796</v>
      </c>
      <c r="R95" s="159" t="s">
        <v>1794</v>
      </c>
      <c r="S95" s="161">
        <v>45054</v>
      </c>
      <c r="T95" s="161">
        <v>45054</v>
      </c>
      <c r="U95" s="159" t="s">
        <v>1593</v>
      </c>
      <c r="V95" s="157">
        <v>1200</v>
      </c>
      <c r="W95" s="157">
        <v>14050</v>
      </c>
      <c r="X95" s="162">
        <v>19350</v>
      </c>
      <c r="Y95" s="157">
        <v>14056</v>
      </c>
      <c r="Z95" s="162">
        <v>1612.52</v>
      </c>
      <c r="AA95" s="162">
        <v>17737.48</v>
      </c>
      <c r="AB95" s="162">
        <v>537.52</v>
      </c>
      <c r="AC95" s="157">
        <v>54260</v>
      </c>
      <c r="AD95" s="162">
        <v>134.38</v>
      </c>
      <c r="AE95" s="157" t="s">
        <v>433</v>
      </c>
      <c r="AF95" s="159"/>
      <c r="AG95" s="159"/>
      <c r="AH95" s="159" t="s">
        <v>2</v>
      </c>
      <c r="AI95" s="159" t="s">
        <v>1785</v>
      </c>
      <c r="AJ95" s="159" t="s">
        <v>1787</v>
      </c>
      <c r="AK95" s="159">
        <v>0</v>
      </c>
      <c r="AL95" s="159" t="s">
        <v>17</v>
      </c>
      <c r="AM95" s="159" t="s">
        <v>17</v>
      </c>
      <c r="AN95" s="275">
        <f t="shared" si="21"/>
        <v>5</v>
      </c>
      <c r="AO95" s="275">
        <f t="shared" si="22"/>
        <v>2023</v>
      </c>
      <c r="AP95" s="276">
        <f t="shared" si="23"/>
        <v>2035</v>
      </c>
      <c r="AQ95" s="277">
        <f t="shared" si="24"/>
        <v>2035.4166666666667</v>
      </c>
      <c r="AR95" s="278">
        <f t="shared" si="25"/>
        <v>134.375</v>
      </c>
      <c r="AS95" s="279">
        <f t="shared" si="26"/>
        <v>1612.5</v>
      </c>
      <c r="AT95" s="279">
        <f t="shared" si="27"/>
        <v>1612.5</v>
      </c>
      <c r="AU95" s="279">
        <f t="shared" si="28"/>
        <v>0</v>
      </c>
      <c r="AV95" s="279">
        <f t="shared" si="29"/>
        <v>1612.5</v>
      </c>
      <c r="AW95" s="280">
        <f t="shared" si="30"/>
        <v>17737.5</v>
      </c>
      <c r="AX95" s="281" t="s">
        <v>77</v>
      </c>
    </row>
    <row r="96" spans="2:50">
      <c r="B96" s="157">
        <v>2149</v>
      </c>
      <c r="C96" s="158">
        <v>305304</v>
      </c>
      <c r="D96" s="157" t="s">
        <v>433</v>
      </c>
      <c r="E96" s="159" t="s">
        <v>1626</v>
      </c>
      <c r="F96" s="160" t="s">
        <v>381</v>
      </c>
      <c r="G96" s="160"/>
      <c r="H96" s="160"/>
      <c r="I96" s="157">
        <v>15</v>
      </c>
      <c r="J96" s="159"/>
      <c r="K96" s="157">
        <v>0</v>
      </c>
      <c r="L96" s="159" t="s">
        <v>1592</v>
      </c>
      <c r="M96" s="159"/>
      <c r="N96" s="159" t="s">
        <v>646</v>
      </c>
      <c r="O96" s="159" t="s">
        <v>1789</v>
      </c>
      <c r="P96" s="159"/>
      <c r="Q96" s="159" t="s">
        <v>1792</v>
      </c>
      <c r="R96" s="159" t="s">
        <v>1791</v>
      </c>
      <c r="S96" s="161">
        <v>45015</v>
      </c>
      <c r="T96" s="161">
        <v>45015</v>
      </c>
      <c r="U96" s="159" t="s">
        <v>1593</v>
      </c>
      <c r="V96" s="157">
        <v>1200</v>
      </c>
      <c r="W96" s="157">
        <v>14050</v>
      </c>
      <c r="X96" s="162">
        <v>12750</v>
      </c>
      <c r="Y96" s="157">
        <v>14056</v>
      </c>
      <c r="Z96" s="162">
        <v>1151.04</v>
      </c>
      <c r="AA96" s="162">
        <v>11598.96</v>
      </c>
      <c r="AB96" s="162">
        <v>354.16</v>
      </c>
      <c r="AC96" s="157">
        <v>54260</v>
      </c>
      <c r="AD96" s="162">
        <v>88.54</v>
      </c>
      <c r="AE96" s="157" t="s">
        <v>433</v>
      </c>
      <c r="AF96" s="159"/>
      <c r="AG96" s="159"/>
      <c r="AH96" s="159" t="s">
        <v>2</v>
      </c>
      <c r="AI96" s="159" t="s">
        <v>1785</v>
      </c>
      <c r="AJ96" s="159" t="s">
        <v>1787</v>
      </c>
      <c r="AK96" s="159">
        <v>0</v>
      </c>
      <c r="AL96" s="159" t="s">
        <v>16</v>
      </c>
      <c r="AM96" s="159" t="s">
        <v>16</v>
      </c>
      <c r="AN96" s="275">
        <f t="shared" si="21"/>
        <v>3</v>
      </c>
      <c r="AO96" s="275">
        <f t="shared" si="22"/>
        <v>2023</v>
      </c>
      <c r="AP96" s="276">
        <f t="shared" si="23"/>
        <v>2035</v>
      </c>
      <c r="AQ96" s="277">
        <f t="shared" si="24"/>
        <v>2035.25</v>
      </c>
      <c r="AR96" s="278">
        <f t="shared" si="25"/>
        <v>88.541666666666671</v>
      </c>
      <c r="AS96" s="279">
        <f t="shared" si="26"/>
        <v>1062.5</v>
      </c>
      <c r="AT96" s="279">
        <f t="shared" si="27"/>
        <v>1062.5</v>
      </c>
      <c r="AU96" s="279">
        <f t="shared" si="28"/>
        <v>0</v>
      </c>
      <c r="AV96" s="279">
        <f t="shared" si="29"/>
        <v>1062.5</v>
      </c>
      <c r="AW96" s="280">
        <f t="shared" si="30"/>
        <v>11687.5</v>
      </c>
      <c r="AX96" s="281" t="s">
        <v>77</v>
      </c>
    </row>
    <row r="97" spans="2:50">
      <c r="B97" s="157">
        <v>2149</v>
      </c>
      <c r="C97" s="158">
        <v>302425</v>
      </c>
      <c r="D97" s="157" t="s">
        <v>433</v>
      </c>
      <c r="E97" s="159" t="s">
        <v>1626</v>
      </c>
      <c r="F97" s="160" t="s">
        <v>1588</v>
      </c>
      <c r="G97" s="160"/>
      <c r="H97" s="160"/>
      <c r="I97" s="157">
        <v>1</v>
      </c>
      <c r="J97" s="159" t="s">
        <v>1589</v>
      </c>
      <c r="K97" s="157">
        <v>2006</v>
      </c>
      <c r="L97" s="159" t="s">
        <v>1590</v>
      </c>
      <c r="M97" s="159" t="s">
        <v>758</v>
      </c>
      <c r="N97" s="159" t="s">
        <v>1788</v>
      </c>
      <c r="O97" s="159" t="s">
        <v>1789</v>
      </c>
      <c r="P97" s="159" t="s">
        <v>758</v>
      </c>
      <c r="Q97" s="159"/>
      <c r="R97" s="159"/>
      <c r="S97" s="161">
        <v>40375</v>
      </c>
      <c r="T97" s="161">
        <v>40375</v>
      </c>
      <c r="U97" s="159" t="s">
        <v>1591</v>
      </c>
      <c r="V97" s="157">
        <v>500</v>
      </c>
      <c r="W97" s="157">
        <v>14040</v>
      </c>
      <c r="X97" s="162">
        <v>46580</v>
      </c>
      <c r="Y97" s="157">
        <v>14046</v>
      </c>
      <c r="Z97" s="162">
        <v>46580</v>
      </c>
      <c r="AA97" s="162">
        <v>0</v>
      </c>
      <c r="AB97" s="162">
        <v>0</v>
      </c>
      <c r="AC97" s="157">
        <v>51260</v>
      </c>
      <c r="AD97" s="162">
        <v>0</v>
      </c>
      <c r="AE97" s="157" t="s">
        <v>433</v>
      </c>
      <c r="AF97" s="159"/>
      <c r="AG97" s="159">
        <v>132</v>
      </c>
      <c r="AH97" s="159" t="s">
        <v>2</v>
      </c>
      <c r="AI97" s="159" t="s">
        <v>1785</v>
      </c>
      <c r="AJ97" s="159" t="s">
        <v>1787</v>
      </c>
      <c r="AK97" s="159">
        <v>0</v>
      </c>
      <c r="AL97" s="159" t="s">
        <v>1568</v>
      </c>
      <c r="AM97" s="159" t="s">
        <v>1568</v>
      </c>
      <c r="AN97" s="275">
        <f t="shared" si="21"/>
        <v>7</v>
      </c>
      <c r="AO97" s="275">
        <f t="shared" si="22"/>
        <v>2010</v>
      </c>
      <c r="AP97" s="276">
        <f t="shared" si="23"/>
        <v>2015</v>
      </c>
      <c r="AQ97" s="277">
        <f t="shared" si="24"/>
        <v>2015.5833333333333</v>
      </c>
      <c r="AR97" s="278">
        <f t="shared" si="25"/>
        <v>776.33333333333337</v>
      </c>
      <c r="AS97" s="279">
        <f t="shared" si="26"/>
        <v>9316</v>
      </c>
      <c r="AT97" s="279">
        <f t="shared" si="27"/>
        <v>0</v>
      </c>
      <c r="AU97" s="279">
        <f t="shared" si="28"/>
        <v>46580</v>
      </c>
      <c r="AV97" s="279">
        <f t="shared" si="29"/>
        <v>46580</v>
      </c>
      <c r="AW97" s="280">
        <f t="shared" si="30"/>
        <v>0</v>
      </c>
      <c r="AX97" s="281" t="s">
        <v>77</v>
      </c>
    </row>
    <row r="98" spans="2:50">
      <c r="B98" s="157">
        <v>2149</v>
      </c>
      <c r="C98" s="158">
        <v>300992</v>
      </c>
      <c r="D98" s="157" t="s">
        <v>433</v>
      </c>
      <c r="E98" s="159" t="s">
        <v>1626</v>
      </c>
      <c r="F98" s="160" t="s">
        <v>1525</v>
      </c>
      <c r="G98" s="160"/>
      <c r="H98" s="160"/>
      <c r="I98" s="157">
        <v>2</v>
      </c>
      <c r="J98" s="159"/>
      <c r="K98" s="157">
        <v>0</v>
      </c>
      <c r="L98" s="159" t="s">
        <v>1245</v>
      </c>
      <c r="M98" s="159"/>
      <c r="N98" s="159" t="s">
        <v>646</v>
      </c>
      <c r="O98" s="159" t="s">
        <v>1789</v>
      </c>
      <c r="P98" s="159"/>
      <c r="Q98" s="159" t="s">
        <v>1796</v>
      </c>
      <c r="R98" s="159" t="s">
        <v>1794</v>
      </c>
      <c r="S98" s="161">
        <v>44928</v>
      </c>
      <c r="T98" s="161">
        <v>44928</v>
      </c>
      <c r="U98" s="159" t="s">
        <v>1576</v>
      </c>
      <c r="V98" s="157">
        <v>1200</v>
      </c>
      <c r="W98" s="157">
        <v>14050</v>
      </c>
      <c r="X98" s="162">
        <v>10744.39</v>
      </c>
      <c r="Y98" s="157">
        <v>14056</v>
      </c>
      <c r="Z98" s="162">
        <v>1193.81</v>
      </c>
      <c r="AA98" s="162">
        <v>9550.58</v>
      </c>
      <c r="AB98" s="162">
        <v>298.44</v>
      </c>
      <c r="AC98" s="157">
        <v>54260</v>
      </c>
      <c r="AD98" s="162">
        <v>74.61</v>
      </c>
      <c r="AE98" s="157" t="s">
        <v>433</v>
      </c>
      <c r="AF98" s="159"/>
      <c r="AG98" s="159"/>
      <c r="AH98" s="159" t="s">
        <v>2</v>
      </c>
      <c r="AI98" s="159" t="s">
        <v>1785</v>
      </c>
      <c r="AJ98" s="159" t="s">
        <v>1787</v>
      </c>
      <c r="AK98" s="159">
        <v>0</v>
      </c>
      <c r="AL98" s="159" t="s">
        <v>17</v>
      </c>
      <c r="AM98" s="159" t="s">
        <v>17</v>
      </c>
      <c r="AN98" s="275">
        <f t="shared" si="21"/>
        <v>1</v>
      </c>
      <c r="AO98" s="275">
        <f t="shared" si="22"/>
        <v>2023</v>
      </c>
      <c r="AP98" s="276">
        <f t="shared" si="23"/>
        <v>2035</v>
      </c>
      <c r="AQ98" s="277">
        <f t="shared" si="24"/>
        <v>2035.0833333333333</v>
      </c>
      <c r="AR98" s="278">
        <f t="shared" si="25"/>
        <v>74.613819444444445</v>
      </c>
      <c r="AS98" s="279">
        <f t="shared" si="26"/>
        <v>895.36583333333328</v>
      </c>
      <c r="AT98" s="279">
        <f t="shared" si="27"/>
        <v>895.36583333333328</v>
      </c>
      <c r="AU98" s="279">
        <f t="shared" si="28"/>
        <v>149.22763888895679</v>
      </c>
      <c r="AV98" s="279">
        <f t="shared" si="29"/>
        <v>1044.5934722222901</v>
      </c>
      <c r="AW98" s="280">
        <f t="shared" si="30"/>
        <v>9699.7965277777093</v>
      </c>
      <c r="AX98" s="281" t="s">
        <v>77</v>
      </c>
    </row>
    <row r="99" spans="2:50">
      <c r="B99" s="157">
        <v>2149</v>
      </c>
      <c r="C99" s="158">
        <v>298660</v>
      </c>
      <c r="D99" s="157">
        <v>117318</v>
      </c>
      <c r="E99" s="159" t="s">
        <v>1626</v>
      </c>
      <c r="F99" s="160" t="s">
        <v>1573</v>
      </c>
      <c r="G99" s="160"/>
      <c r="H99" s="160"/>
      <c r="I99" s="157">
        <v>1</v>
      </c>
      <c r="J99" s="159"/>
      <c r="K99" s="157">
        <v>0</v>
      </c>
      <c r="L99" s="159" t="s">
        <v>1574</v>
      </c>
      <c r="M99" s="159"/>
      <c r="N99" s="159" t="s">
        <v>1788</v>
      </c>
      <c r="O99" s="159" t="s">
        <v>1789</v>
      </c>
      <c r="P99" s="159" t="s">
        <v>683</v>
      </c>
      <c r="Q99" s="159"/>
      <c r="R99" s="159"/>
      <c r="S99" s="161">
        <v>44928</v>
      </c>
      <c r="T99" s="161">
        <v>44928</v>
      </c>
      <c r="U99" s="159" t="s">
        <v>1500</v>
      </c>
      <c r="V99" s="157">
        <v>300</v>
      </c>
      <c r="W99" s="157">
        <v>14040</v>
      </c>
      <c r="X99" s="162">
        <v>1867.33</v>
      </c>
      <c r="Y99" s="157">
        <v>14046</v>
      </c>
      <c r="Z99" s="162">
        <v>829.92</v>
      </c>
      <c r="AA99" s="162">
        <v>1037.4099999999999</v>
      </c>
      <c r="AB99" s="162">
        <v>207.48</v>
      </c>
      <c r="AC99" s="157">
        <v>51260</v>
      </c>
      <c r="AD99" s="162">
        <v>51.87</v>
      </c>
      <c r="AE99" s="157" t="s">
        <v>433</v>
      </c>
      <c r="AF99" s="159"/>
      <c r="AG99" s="159"/>
      <c r="AH99" s="159" t="s">
        <v>2</v>
      </c>
      <c r="AI99" s="159" t="s">
        <v>1785</v>
      </c>
      <c r="AJ99" s="159" t="s">
        <v>1787</v>
      </c>
      <c r="AK99" s="159">
        <v>30</v>
      </c>
      <c r="AL99" s="159" t="s">
        <v>1565</v>
      </c>
      <c r="AM99" s="159" t="s">
        <v>1565</v>
      </c>
      <c r="AN99" s="275">
        <f t="shared" si="21"/>
        <v>1</v>
      </c>
      <c r="AO99" s="275">
        <f t="shared" si="22"/>
        <v>2023</v>
      </c>
      <c r="AP99" s="276">
        <f t="shared" si="23"/>
        <v>2026</v>
      </c>
      <c r="AQ99" s="277">
        <f t="shared" si="24"/>
        <v>2026.0833333333333</v>
      </c>
      <c r="AR99" s="278">
        <f t="shared" si="25"/>
        <v>51.870277777777773</v>
      </c>
      <c r="AS99" s="279">
        <f t="shared" si="26"/>
        <v>622.44333333333327</v>
      </c>
      <c r="AT99" s="279">
        <f t="shared" si="27"/>
        <v>622.44333333333327</v>
      </c>
      <c r="AU99" s="279">
        <f t="shared" si="28"/>
        <v>103.7405555556029</v>
      </c>
      <c r="AV99" s="279">
        <f t="shared" si="29"/>
        <v>726.18388888893617</v>
      </c>
      <c r="AW99" s="280">
        <f t="shared" si="30"/>
        <v>1141.1461111110639</v>
      </c>
      <c r="AX99" s="281" t="s">
        <v>77</v>
      </c>
    </row>
    <row r="100" spans="2:50">
      <c r="B100" s="157">
        <v>2149</v>
      </c>
      <c r="C100" s="158">
        <v>298089</v>
      </c>
      <c r="D100" s="157" t="s">
        <v>433</v>
      </c>
      <c r="E100" s="159" t="s">
        <v>1626</v>
      </c>
      <c r="F100" s="160" t="s">
        <v>381</v>
      </c>
      <c r="G100" s="160"/>
      <c r="H100" s="160"/>
      <c r="I100" s="157">
        <v>20</v>
      </c>
      <c r="J100" s="159"/>
      <c r="K100" s="157">
        <v>0</v>
      </c>
      <c r="L100" s="159" t="s">
        <v>1245</v>
      </c>
      <c r="M100" s="159"/>
      <c r="N100" s="159" t="s">
        <v>646</v>
      </c>
      <c r="O100" s="159" t="s">
        <v>1789</v>
      </c>
      <c r="P100" s="159"/>
      <c r="Q100" s="159" t="s">
        <v>1792</v>
      </c>
      <c r="R100" s="159" t="s">
        <v>1791</v>
      </c>
      <c r="S100" s="161">
        <v>44928</v>
      </c>
      <c r="T100" s="161">
        <v>44928</v>
      </c>
      <c r="U100" s="159" t="s">
        <v>1534</v>
      </c>
      <c r="V100" s="157">
        <v>1200</v>
      </c>
      <c r="W100" s="157">
        <v>14050</v>
      </c>
      <c r="X100" s="162">
        <v>16207.3</v>
      </c>
      <c r="Y100" s="157">
        <v>14056</v>
      </c>
      <c r="Z100" s="162">
        <v>1800.81</v>
      </c>
      <c r="AA100" s="162">
        <v>14406.49</v>
      </c>
      <c r="AB100" s="162">
        <v>450.2</v>
      </c>
      <c r="AC100" s="157">
        <v>54260</v>
      </c>
      <c r="AD100" s="162">
        <v>112.55</v>
      </c>
      <c r="AE100" s="157" t="s">
        <v>433</v>
      </c>
      <c r="AF100" s="159"/>
      <c r="AG100" s="159"/>
      <c r="AH100" s="159" t="s">
        <v>2</v>
      </c>
      <c r="AI100" s="159" t="s">
        <v>1785</v>
      </c>
      <c r="AJ100" s="159" t="s">
        <v>1787</v>
      </c>
      <c r="AK100" s="159">
        <v>0</v>
      </c>
      <c r="AL100" s="159" t="s">
        <v>16</v>
      </c>
      <c r="AM100" s="159" t="s">
        <v>16</v>
      </c>
      <c r="AN100" s="275">
        <f t="shared" si="21"/>
        <v>1</v>
      </c>
      <c r="AO100" s="275">
        <f t="shared" si="22"/>
        <v>2023</v>
      </c>
      <c r="AP100" s="276">
        <f t="shared" si="23"/>
        <v>2035</v>
      </c>
      <c r="AQ100" s="277">
        <f t="shared" si="24"/>
        <v>2035.0833333333333</v>
      </c>
      <c r="AR100" s="278">
        <f t="shared" si="25"/>
        <v>112.55069444444445</v>
      </c>
      <c r="AS100" s="279">
        <f t="shared" si="26"/>
        <v>1350.6083333333333</v>
      </c>
      <c r="AT100" s="279">
        <f t="shared" si="27"/>
        <v>1350.6083333333333</v>
      </c>
      <c r="AU100" s="279">
        <f t="shared" si="28"/>
        <v>225.10138888899019</v>
      </c>
      <c r="AV100" s="279">
        <f t="shared" si="29"/>
        <v>1575.7097222223235</v>
      </c>
      <c r="AW100" s="280">
        <f t="shared" si="30"/>
        <v>14631.590277777676</v>
      </c>
      <c r="AX100" s="281" t="s">
        <v>77</v>
      </c>
    </row>
    <row r="101" spans="2:50">
      <c r="B101" s="157">
        <v>2149</v>
      </c>
      <c r="C101" s="158">
        <v>298081</v>
      </c>
      <c r="D101" s="157" t="s">
        <v>433</v>
      </c>
      <c r="E101" s="159" t="s">
        <v>1626</v>
      </c>
      <c r="F101" s="160" t="s">
        <v>1575</v>
      </c>
      <c r="G101" s="160"/>
      <c r="H101" s="160"/>
      <c r="I101" s="157">
        <v>4</v>
      </c>
      <c r="J101" s="159"/>
      <c r="K101" s="157">
        <v>0</v>
      </c>
      <c r="L101" s="159" t="s">
        <v>1245</v>
      </c>
      <c r="M101" s="159"/>
      <c r="N101" s="159" t="s">
        <v>646</v>
      </c>
      <c r="O101" s="159" t="s">
        <v>1789</v>
      </c>
      <c r="P101" s="159"/>
      <c r="Q101" s="159" t="s">
        <v>1790</v>
      </c>
      <c r="R101" s="159" t="s">
        <v>1791</v>
      </c>
      <c r="S101" s="161">
        <v>44928</v>
      </c>
      <c r="T101" s="161">
        <v>44928</v>
      </c>
      <c r="U101" s="159" t="s">
        <v>1534</v>
      </c>
      <c r="V101" s="157">
        <v>1200</v>
      </c>
      <c r="W101" s="157">
        <v>14050</v>
      </c>
      <c r="X101" s="162">
        <v>3542.7</v>
      </c>
      <c r="Y101" s="157">
        <v>14056</v>
      </c>
      <c r="Z101" s="162">
        <v>393.63</v>
      </c>
      <c r="AA101" s="162">
        <v>3149.0699999999997</v>
      </c>
      <c r="AB101" s="162">
        <v>98.4</v>
      </c>
      <c r="AC101" s="157">
        <v>54260</v>
      </c>
      <c r="AD101" s="162">
        <v>24.6</v>
      </c>
      <c r="AE101" s="157" t="s">
        <v>433</v>
      </c>
      <c r="AF101" s="159"/>
      <c r="AG101" s="159"/>
      <c r="AH101" s="159" t="s">
        <v>2</v>
      </c>
      <c r="AI101" s="159" t="s">
        <v>1785</v>
      </c>
      <c r="AJ101" s="159" t="s">
        <v>1787</v>
      </c>
      <c r="AK101" s="159">
        <v>0</v>
      </c>
      <c r="AL101" s="159" t="s">
        <v>16</v>
      </c>
      <c r="AM101" s="159" t="s">
        <v>16</v>
      </c>
      <c r="AN101" s="275">
        <f t="shared" si="21"/>
        <v>1</v>
      </c>
      <c r="AO101" s="275">
        <f t="shared" si="22"/>
        <v>2023</v>
      </c>
      <c r="AP101" s="276">
        <f t="shared" si="23"/>
        <v>2035</v>
      </c>
      <c r="AQ101" s="277">
        <f t="shared" si="24"/>
        <v>2035.0833333333333</v>
      </c>
      <c r="AR101" s="278">
        <f t="shared" si="25"/>
        <v>24.602083333333329</v>
      </c>
      <c r="AS101" s="279">
        <f t="shared" si="26"/>
        <v>295.22499999999997</v>
      </c>
      <c r="AT101" s="279">
        <f t="shared" si="27"/>
        <v>295.22499999999997</v>
      </c>
      <c r="AU101" s="279">
        <f t="shared" si="28"/>
        <v>49.204166666689616</v>
      </c>
      <c r="AV101" s="279">
        <f t="shared" si="29"/>
        <v>344.42916666668958</v>
      </c>
      <c r="AW101" s="280">
        <f t="shared" si="30"/>
        <v>3198.2708333333103</v>
      </c>
      <c r="AX101" s="281" t="s">
        <v>77</v>
      </c>
    </row>
    <row r="102" spans="2:50">
      <c r="B102" s="157">
        <v>2149</v>
      </c>
      <c r="C102" s="158">
        <v>297387</v>
      </c>
      <c r="D102" s="157">
        <v>117318</v>
      </c>
      <c r="E102" s="159" t="s">
        <v>1626</v>
      </c>
      <c r="F102" s="160" t="s">
        <v>1498</v>
      </c>
      <c r="G102" s="160"/>
      <c r="H102" s="160"/>
      <c r="I102" s="157">
        <v>1</v>
      </c>
      <c r="J102" s="159"/>
      <c r="K102" s="157">
        <v>0</v>
      </c>
      <c r="L102" s="159" t="s">
        <v>1499</v>
      </c>
      <c r="M102" s="159"/>
      <c r="N102" s="159" t="s">
        <v>1788</v>
      </c>
      <c r="O102" s="159" t="s">
        <v>1789</v>
      </c>
      <c r="P102" s="159" t="s">
        <v>683</v>
      </c>
      <c r="Q102" s="159"/>
      <c r="R102" s="159"/>
      <c r="S102" s="161">
        <v>44910</v>
      </c>
      <c r="T102" s="161">
        <v>44910</v>
      </c>
      <c r="U102" s="159" t="s">
        <v>1500</v>
      </c>
      <c r="V102" s="157">
        <v>300</v>
      </c>
      <c r="W102" s="157">
        <v>14040</v>
      </c>
      <c r="X102" s="162">
        <v>10674.51</v>
      </c>
      <c r="Y102" s="157">
        <v>14046</v>
      </c>
      <c r="Z102" s="162">
        <v>5040.7299999999996</v>
      </c>
      <c r="AA102" s="162">
        <v>5633.7800000000007</v>
      </c>
      <c r="AB102" s="162">
        <v>1186.04</v>
      </c>
      <c r="AC102" s="157">
        <v>51260</v>
      </c>
      <c r="AD102" s="162">
        <v>296.51</v>
      </c>
      <c r="AE102" s="157" t="s">
        <v>433</v>
      </c>
      <c r="AF102" s="159"/>
      <c r="AG102" s="159"/>
      <c r="AH102" s="159" t="s">
        <v>2</v>
      </c>
      <c r="AI102" s="159" t="s">
        <v>1785</v>
      </c>
      <c r="AJ102" s="159" t="s">
        <v>1787</v>
      </c>
      <c r="AK102" s="159">
        <v>30</v>
      </c>
      <c r="AL102" s="159" t="s">
        <v>1565</v>
      </c>
      <c r="AM102" s="159" t="s">
        <v>1565</v>
      </c>
      <c r="AN102" s="275">
        <f t="shared" si="21"/>
        <v>12</v>
      </c>
      <c r="AO102" s="275">
        <f t="shared" si="22"/>
        <v>2022</v>
      </c>
      <c r="AP102" s="276">
        <f t="shared" si="23"/>
        <v>2025</v>
      </c>
      <c r="AQ102" s="277">
        <f t="shared" si="24"/>
        <v>2026</v>
      </c>
      <c r="AR102" s="278">
        <f t="shared" si="25"/>
        <v>296.51416666666665</v>
      </c>
      <c r="AS102" s="279">
        <f t="shared" si="26"/>
        <v>3558.17</v>
      </c>
      <c r="AT102" s="279">
        <f t="shared" si="27"/>
        <v>3558.17</v>
      </c>
      <c r="AU102" s="279">
        <f t="shared" si="28"/>
        <v>889.54250000000138</v>
      </c>
      <c r="AV102" s="279">
        <f t="shared" si="29"/>
        <v>4447.7125000000015</v>
      </c>
      <c r="AW102" s="280">
        <f t="shared" si="30"/>
        <v>6226.7974999999988</v>
      </c>
      <c r="AX102" s="281" t="s">
        <v>77</v>
      </c>
    </row>
    <row r="103" spans="2:50">
      <c r="B103" s="157">
        <v>2149</v>
      </c>
      <c r="C103" s="158">
        <v>294144</v>
      </c>
      <c r="D103" s="157" t="s">
        <v>433</v>
      </c>
      <c r="E103" s="159" t="s">
        <v>1626</v>
      </c>
      <c r="F103" s="160" t="s">
        <v>1558</v>
      </c>
      <c r="G103" s="160"/>
      <c r="H103" s="160"/>
      <c r="I103" s="157">
        <v>20</v>
      </c>
      <c r="J103" s="159"/>
      <c r="K103" s="157">
        <v>0</v>
      </c>
      <c r="L103" s="159" t="s">
        <v>1393</v>
      </c>
      <c r="M103" s="159"/>
      <c r="N103" s="159" t="s">
        <v>646</v>
      </c>
      <c r="O103" s="159" t="s">
        <v>1789</v>
      </c>
      <c r="P103" s="159"/>
      <c r="Q103" s="159"/>
      <c r="R103" s="159"/>
      <c r="S103" s="161">
        <v>44839</v>
      </c>
      <c r="T103" s="161">
        <v>44839</v>
      </c>
      <c r="U103" s="159" t="s">
        <v>1559</v>
      </c>
      <c r="V103" s="157">
        <v>700</v>
      </c>
      <c r="W103" s="157">
        <v>14050</v>
      </c>
      <c r="X103" s="162">
        <v>10999.75</v>
      </c>
      <c r="Y103" s="157">
        <v>14056</v>
      </c>
      <c r="Z103" s="162">
        <v>2488.04</v>
      </c>
      <c r="AA103" s="162">
        <v>8511.7099999999991</v>
      </c>
      <c r="AB103" s="162">
        <v>523.79999999999995</v>
      </c>
      <c r="AC103" s="157">
        <v>54260</v>
      </c>
      <c r="AD103" s="162">
        <v>130.94999999999999</v>
      </c>
      <c r="AE103" s="157" t="s">
        <v>433</v>
      </c>
      <c r="AF103" s="159"/>
      <c r="AG103" s="159"/>
      <c r="AH103" s="159" t="s">
        <v>2</v>
      </c>
      <c r="AI103" s="159" t="s">
        <v>1785</v>
      </c>
      <c r="AJ103" s="159" t="s">
        <v>1787</v>
      </c>
      <c r="AK103" s="159">
        <v>0</v>
      </c>
      <c r="AL103" s="159" t="s">
        <v>364</v>
      </c>
      <c r="AM103" s="159" t="s">
        <v>364</v>
      </c>
      <c r="AN103" s="275">
        <f t="shared" si="21"/>
        <v>10</v>
      </c>
      <c r="AO103" s="275">
        <f t="shared" si="22"/>
        <v>2022</v>
      </c>
      <c r="AP103" s="276">
        <f t="shared" si="23"/>
        <v>2029</v>
      </c>
      <c r="AQ103" s="277">
        <f t="shared" si="24"/>
        <v>2029.8333333333333</v>
      </c>
      <c r="AR103" s="278">
        <f t="shared" si="25"/>
        <v>130.94940476190476</v>
      </c>
      <c r="AS103" s="279">
        <f t="shared" si="26"/>
        <v>1571.3928571428571</v>
      </c>
      <c r="AT103" s="279">
        <f t="shared" si="27"/>
        <v>1571.3928571428571</v>
      </c>
      <c r="AU103" s="279">
        <f t="shared" si="28"/>
        <v>654.747023809643</v>
      </c>
      <c r="AV103" s="279">
        <f t="shared" si="29"/>
        <v>2226.1398809524999</v>
      </c>
      <c r="AW103" s="280">
        <f t="shared" si="30"/>
        <v>8773.6101190475001</v>
      </c>
      <c r="AX103" s="281" t="s">
        <v>77</v>
      </c>
    </row>
    <row r="104" spans="2:50">
      <c r="B104" s="157">
        <v>2149</v>
      </c>
      <c r="C104" s="158">
        <v>293980</v>
      </c>
      <c r="D104" s="157">
        <v>27371</v>
      </c>
      <c r="E104" s="159" t="s">
        <v>1626</v>
      </c>
      <c r="F104" s="160" t="s">
        <v>1495</v>
      </c>
      <c r="G104" s="160"/>
      <c r="H104" s="160"/>
      <c r="I104" s="157">
        <v>1</v>
      </c>
      <c r="J104" s="159"/>
      <c r="K104" s="157">
        <v>0</v>
      </c>
      <c r="L104" s="159"/>
      <c r="M104" s="159"/>
      <c r="N104" s="159" t="s">
        <v>1788</v>
      </c>
      <c r="O104" s="159" t="s">
        <v>1789</v>
      </c>
      <c r="P104" s="159" t="s">
        <v>683</v>
      </c>
      <c r="Q104" s="159"/>
      <c r="R104" s="159"/>
      <c r="S104" s="161">
        <v>44874</v>
      </c>
      <c r="T104" s="161">
        <v>44874</v>
      </c>
      <c r="U104" s="159" t="s">
        <v>1496</v>
      </c>
      <c r="V104" s="157">
        <v>300</v>
      </c>
      <c r="W104" s="157">
        <v>14040</v>
      </c>
      <c r="X104" s="162">
        <v>19043.23</v>
      </c>
      <c r="Y104" s="157">
        <v>14046</v>
      </c>
      <c r="Z104" s="162">
        <v>9521.6200000000008</v>
      </c>
      <c r="AA104" s="162">
        <v>9521.6099999999988</v>
      </c>
      <c r="AB104" s="162">
        <v>2115.92</v>
      </c>
      <c r="AC104" s="157">
        <v>51260</v>
      </c>
      <c r="AD104" s="162">
        <v>528.98</v>
      </c>
      <c r="AE104" s="157" t="s">
        <v>433</v>
      </c>
      <c r="AF104" s="159"/>
      <c r="AG104" s="159"/>
      <c r="AH104" s="159" t="s">
        <v>2</v>
      </c>
      <c r="AI104" s="159" t="s">
        <v>1785</v>
      </c>
      <c r="AJ104" s="159" t="s">
        <v>1787</v>
      </c>
      <c r="AK104" s="159">
        <v>4</v>
      </c>
      <c r="AL104" s="159" t="s">
        <v>583</v>
      </c>
      <c r="AM104" s="159" t="s">
        <v>583</v>
      </c>
      <c r="AN104" s="275">
        <f t="shared" si="21"/>
        <v>11</v>
      </c>
      <c r="AO104" s="275">
        <f t="shared" si="22"/>
        <v>2022</v>
      </c>
      <c r="AP104" s="276">
        <f t="shared" si="23"/>
        <v>2025</v>
      </c>
      <c r="AQ104" s="277">
        <f t="shared" si="24"/>
        <v>2025.9166666666667</v>
      </c>
      <c r="AR104" s="278">
        <f t="shared" si="25"/>
        <v>528.97861111111104</v>
      </c>
      <c r="AS104" s="279">
        <f t="shared" si="26"/>
        <v>6347.743333333332</v>
      </c>
      <c r="AT104" s="279">
        <f t="shared" si="27"/>
        <v>6347.743333333332</v>
      </c>
      <c r="AU104" s="279">
        <f t="shared" si="28"/>
        <v>2115.9144444439662</v>
      </c>
      <c r="AV104" s="279">
        <f t="shared" si="29"/>
        <v>8463.6577777772982</v>
      </c>
      <c r="AW104" s="280">
        <f t="shared" si="30"/>
        <v>10579.572222222701</v>
      </c>
      <c r="AX104" s="281" t="s">
        <v>77</v>
      </c>
    </row>
    <row r="105" spans="2:50">
      <c r="B105" s="157">
        <v>2149</v>
      </c>
      <c r="C105" s="158">
        <v>293642</v>
      </c>
      <c r="D105" s="157">
        <v>286702</v>
      </c>
      <c r="E105" s="159" t="s">
        <v>1626</v>
      </c>
      <c r="F105" s="160" t="s">
        <v>1552</v>
      </c>
      <c r="G105" s="160"/>
      <c r="H105" s="160"/>
      <c r="I105" s="157">
        <v>1</v>
      </c>
      <c r="J105" s="159"/>
      <c r="K105" s="157">
        <v>0</v>
      </c>
      <c r="L105" s="159"/>
      <c r="M105" s="159"/>
      <c r="N105" s="159" t="s">
        <v>1788</v>
      </c>
      <c r="O105" s="159" t="s">
        <v>1789</v>
      </c>
      <c r="P105" s="159" t="s">
        <v>683</v>
      </c>
      <c r="Q105" s="159"/>
      <c r="R105" s="159"/>
      <c r="S105" s="161">
        <v>44865</v>
      </c>
      <c r="T105" s="161">
        <v>44865</v>
      </c>
      <c r="U105" s="159" t="s">
        <v>1551</v>
      </c>
      <c r="V105" s="157">
        <v>1000</v>
      </c>
      <c r="W105" s="157">
        <v>14040</v>
      </c>
      <c r="X105" s="162">
        <v>1337.5</v>
      </c>
      <c r="Y105" s="157">
        <v>14046</v>
      </c>
      <c r="Z105" s="162">
        <v>200.64</v>
      </c>
      <c r="AA105" s="162">
        <v>1136.8600000000001</v>
      </c>
      <c r="AB105" s="162">
        <v>44.6</v>
      </c>
      <c r="AC105" s="157">
        <v>51260</v>
      </c>
      <c r="AD105" s="162">
        <v>11.15</v>
      </c>
      <c r="AE105" s="157" t="s">
        <v>433</v>
      </c>
      <c r="AF105" s="159"/>
      <c r="AG105" s="159"/>
      <c r="AH105" s="159" t="s">
        <v>2</v>
      </c>
      <c r="AI105" s="159" t="s">
        <v>1785</v>
      </c>
      <c r="AJ105" s="159" t="s">
        <v>1787</v>
      </c>
      <c r="AK105" s="159">
        <v>44</v>
      </c>
      <c r="AL105" s="159" t="s">
        <v>1566</v>
      </c>
      <c r="AM105" s="159" t="s">
        <v>1566</v>
      </c>
      <c r="AN105" s="275">
        <f t="shared" si="21"/>
        <v>10</v>
      </c>
      <c r="AO105" s="275">
        <f t="shared" si="22"/>
        <v>2022</v>
      </c>
      <c r="AP105" s="276">
        <f t="shared" si="23"/>
        <v>2032</v>
      </c>
      <c r="AQ105" s="277">
        <f t="shared" si="24"/>
        <v>2032.8333333333333</v>
      </c>
      <c r="AR105" s="278">
        <f t="shared" si="25"/>
        <v>11.145833333333334</v>
      </c>
      <c r="AS105" s="279">
        <f t="shared" si="26"/>
        <v>133.75</v>
      </c>
      <c r="AT105" s="279">
        <f t="shared" si="27"/>
        <v>133.75</v>
      </c>
      <c r="AU105" s="279">
        <f t="shared" si="28"/>
        <v>55.729166666676747</v>
      </c>
      <c r="AV105" s="279">
        <f t="shared" si="29"/>
        <v>189.47916666667675</v>
      </c>
      <c r="AW105" s="280">
        <f t="shared" si="30"/>
        <v>1148.0208333333233</v>
      </c>
      <c r="AX105" s="281" t="s">
        <v>77</v>
      </c>
    </row>
    <row r="106" spans="2:50">
      <c r="B106" s="157">
        <v>2149</v>
      </c>
      <c r="C106" s="158">
        <v>292826</v>
      </c>
      <c r="D106" s="157" t="s">
        <v>433</v>
      </c>
      <c r="E106" s="159" t="s">
        <v>1626</v>
      </c>
      <c r="F106" s="160" t="s">
        <v>1556</v>
      </c>
      <c r="G106" s="160"/>
      <c r="H106" s="160"/>
      <c r="I106" s="157">
        <v>210</v>
      </c>
      <c r="J106" s="159"/>
      <c r="K106" s="157">
        <v>0</v>
      </c>
      <c r="L106" s="159" t="s">
        <v>1245</v>
      </c>
      <c r="M106" s="159"/>
      <c r="N106" s="159" t="s">
        <v>646</v>
      </c>
      <c r="O106" s="159" t="s">
        <v>1789</v>
      </c>
      <c r="P106" s="159"/>
      <c r="Q106" s="159"/>
      <c r="R106" s="159"/>
      <c r="S106" s="161">
        <v>44772</v>
      </c>
      <c r="T106" s="161">
        <v>44772</v>
      </c>
      <c r="U106" s="159" t="s">
        <v>1557</v>
      </c>
      <c r="V106" s="157">
        <v>700</v>
      </c>
      <c r="W106" s="157">
        <v>14050</v>
      </c>
      <c r="X106" s="162">
        <v>15883.05</v>
      </c>
      <c r="Y106" s="157">
        <v>14056</v>
      </c>
      <c r="Z106" s="162">
        <v>3970.75</v>
      </c>
      <c r="AA106" s="162">
        <v>11912.3</v>
      </c>
      <c r="AB106" s="162">
        <v>756.32</v>
      </c>
      <c r="AC106" s="157">
        <v>54260</v>
      </c>
      <c r="AD106" s="162">
        <v>189.08</v>
      </c>
      <c r="AE106" s="157" t="s">
        <v>433</v>
      </c>
      <c r="AF106" s="159"/>
      <c r="AG106" s="159"/>
      <c r="AH106" s="159" t="s">
        <v>2</v>
      </c>
      <c r="AI106" s="159" t="s">
        <v>1785</v>
      </c>
      <c r="AJ106" s="159" t="s">
        <v>1787</v>
      </c>
      <c r="AK106" s="159">
        <v>0</v>
      </c>
      <c r="AL106" s="159" t="s">
        <v>573</v>
      </c>
      <c r="AM106" s="159" t="s">
        <v>573</v>
      </c>
      <c r="AN106" s="275">
        <f t="shared" si="21"/>
        <v>7</v>
      </c>
      <c r="AO106" s="275">
        <f t="shared" si="22"/>
        <v>2022</v>
      </c>
      <c r="AP106" s="276">
        <f t="shared" si="23"/>
        <v>2029</v>
      </c>
      <c r="AQ106" s="277">
        <f t="shared" si="24"/>
        <v>2029.5833333333333</v>
      </c>
      <c r="AR106" s="278">
        <f t="shared" si="25"/>
        <v>189.08392857142857</v>
      </c>
      <c r="AS106" s="279">
        <f t="shared" si="26"/>
        <v>2269.0071428571428</v>
      </c>
      <c r="AT106" s="279">
        <f t="shared" si="27"/>
        <v>2269.0071428571428</v>
      </c>
      <c r="AU106" s="279">
        <f t="shared" si="28"/>
        <v>1512.6714285715989</v>
      </c>
      <c r="AV106" s="279">
        <f t="shared" si="29"/>
        <v>3781.6785714287416</v>
      </c>
      <c r="AW106" s="280">
        <f t="shared" si="30"/>
        <v>12101.371428571258</v>
      </c>
      <c r="AX106" s="281" t="s">
        <v>77</v>
      </c>
    </row>
    <row r="107" spans="2:50">
      <c r="B107" s="157">
        <v>2149</v>
      </c>
      <c r="C107" s="158">
        <v>290913</v>
      </c>
      <c r="D107" s="157" t="s">
        <v>433</v>
      </c>
      <c r="E107" s="159" t="s">
        <v>1626</v>
      </c>
      <c r="F107" s="160" t="s">
        <v>1553</v>
      </c>
      <c r="G107" s="160"/>
      <c r="H107" s="160"/>
      <c r="I107" s="157">
        <v>10</v>
      </c>
      <c r="J107" s="159"/>
      <c r="K107" s="157">
        <v>0</v>
      </c>
      <c r="L107" s="159" t="s">
        <v>1554</v>
      </c>
      <c r="M107" s="159"/>
      <c r="N107" s="159" t="s">
        <v>1801</v>
      </c>
      <c r="O107" s="159" t="s">
        <v>1789</v>
      </c>
      <c r="P107" s="159"/>
      <c r="Q107" s="159"/>
      <c r="R107" s="159"/>
      <c r="S107" s="161">
        <v>44707</v>
      </c>
      <c r="T107" s="161">
        <v>44707</v>
      </c>
      <c r="U107" s="159" t="s">
        <v>1555</v>
      </c>
      <c r="V107" s="157">
        <v>500</v>
      </c>
      <c r="W107" s="157">
        <v>14070</v>
      </c>
      <c r="X107" s="162">
        <v>8921.6</v>
      </c>
      <c r="Y107" s="157">
        <v>14076</v>
      </c>
      <c r="Z107" s="162">
        <v>3419.93</v>
      </c>
      <c r="AA107" s="162">
        <v>5501.67</v>
      </c>
      <c r="AB107" s="162">
        <v>594.76</v>
      </c>
      <c r="AC107" s="157">
        <v>51260</v>
      </c>
      <c r="AD107" s="162">
        <v>148.69</v>
      </c>
      <c r="AE107" s="157" t="s">
        <v>433</v>
      </c>
      <c r="AF107" s="159"/>
      <c r="AG107" s="159"/>
      <c r="AH107" s="159" t="s">
        <v>2</v>
      </c>
      <c r="AI107" s="159" t="s">
        <v>1785</v>
      </c>
      <c r="AJ107" s="159" t="s">
        <v>1787</v>
      </c>
      <c r="AK107" s="159">
        <v>0</v>
      </c>
      <c r="AL107" s="159" t="s">
        <v>22</v>
      </c>
      <c r="AM107" s="159" t="s">
        <v>22</v>
      </c>
      <c r="AN107" s="275">
        <f t="shared" si="21"/>
        <v>5</v>
      </c>
      <c r="AO107" s="275">
        <f t="shared" si="22"/>
        <v>2022</v>
      </c>
      <c r="AP107" s="276">
        <f t="shared" si="23"/>
        <v>2027</v>
      </c>
      <c r="AQ107" s="277">
        <f t="shared" si="24"/>
        <v>2027.4166666666667</v>
      </c>
      <c r="AR107" s="278">
        <f t="shared" si="25"/>
        <v>148.69333333333336</v>
      </c>
      <c r="AS107" s="279">
        <f t="shared" si="26"/>
        <v>1784.3200000000002</v>
      </c>
      <c r="AT107" s="279">
        <f t="shared" si="27"/>
        <v>1784.3200000000002</v>
      </c>
      <c r="AU107" s="279">
        <f t="shared" si="28"/>
        <v>1486.933333333197</v>
      </c>
      <c r="AV107" s="279">
        <f t="shared" si="29"/>
        <v>3271.2533333331971</v>
      </c>
      <c r="AW107" s="280">
        <f t="shared" si="30"/>
        <v>5650.3466666668028</v>
      </c>
      <c r="AX107" s="281" t="s">
        <v>77</v>
      </c>
    </row>
    <row r="108" spans="2:50">
      <c r="B108" s="157">
        <v>2149</v>
      </c>
      <c r="C108" s="158">
        <v>289469</v>
      </c>
      <c r="D108" s="157">
        <v>284456</v>
      </c>
      <c r="E108" s="159" t="s">
        <v>1626</v>
      </c>
      <c r="F108" s="160" t="s">
        <v>1531</v>
      </c>
      <c r="G108" s="160"/>
      <c r="H108" s="160"/>
      <c r="I108" s="157">
        <v>1</v>
      </c>
      <c r="J108" s="159"/>
      <c r="K108" s="157">
        <v>0</v>
      </c>
      <c r="L108" s="159" t="s">
        <v>1532</v>
      </c>
      <c r="M108" s="159"/>
      <c r="N108" s="159" t="s">
        <v>1788</v>
      </c>
      <c r="O108" s="159" t="s">
        <v>1789</v>
      </c>
      <c r="P108" s="159" t="s">
        <v>683</v>
      </c>
      <c r="Q108" s="159"/>
      <c r="R108" s="159"/>
      <c r="S108" s="161">
        <v>44813</v>
      </c>
      <c r="T108" s="161">
        <v>44813</v>
      </c>
      <c r="U108" s="159" t="s">
        <v>1529</v>
      </c>
      <c r="V108" s="157">
        <v>1000</v>
      </c>
      <c r="W108" s="157">
        <v>14040</v>
      </c>
      <c r="X108" s="162">
        <v>865.2</v>
      </c>
      <c r="Y108" s="157">
        <v>14046</v>
      </c>
      <c r="Z108" s="162">
        <v>144.19999999999999</v>
      </c>
      <c r="AA108" s="162">
        <v>721</v>
      </c>
      <c r="AB108" s="162">
        <v>28.84</v>
      </c>
      <c r="AC108" s="157">
        <v>51260</v>
      </c>
      <c r="AD108" s="162">
        <v>7.21</v>
      </c>
      <c r="AE108" s="157" t="s">
        <v>433</v>
      </c>
      <c r="AF108" s="159"/>
      <c r="AG108" s="159"/>
      <c r="AH108" s="159" t="s">
        <v>2</v>
      </c>
      <c r="AI108" s="159" t="s">
        <v>1785</v>
      </c>
      <c r="AJ108" s="159" t="s">
        <v>1787</v>
      </c>
      <c r="AK108" s="159">
        <v>51</v>
      </c>
      <c r="AL108" s="159" t="s">
        <v>1567</v>
      </c>
      <c r="AM108" s="159" t="s">
        <v>1567</v>
      </c>
      <c r="AN108" s="275">
        <f t="shared" si="21"/>
        <v>9</v>
      </c>
      <c r="AO108" s="275">
        <f t="shared" si="22"/>
        <v>2022</v>
      </c>
      <c r="AP108" s="276">
        <f t="shared" si="23"/>
        <v>2032</v>
      </c>
      <c r="AQ108" s="277">
        <f t="shared" si="24"/>
        <v>2032.75</v>
      </c>
      <c r="AR108" s="278">
        <f t="shared" si="25"/>
        <v>7.2100000000000009</v>
      </c>
      <c r="AS108" s="279">
        <f t="shared" si="26"/>
        <v>86.52000000000001</v>
      </c>
      <c r="AT108" s="279">
        <f t="shared" si="27"/>
        <v>86.52000000000001</v>
      </c>
      <c r="AU108" s="279">
        <f t="shared" si="28"/>
        <v>43.259999999999991</v>
      </c>
      <c r="AV108" s="279">
        <f t="shared" si="29"/>
        <v>129.78</v>
      </c>
      <c r="AW108" s="280">
        <f t="shared" si="30"/>
        <v>735.42000000000007</v>
      </c>
      <c r="AX108" s="281" t="s">
        <v>77</v>
      </c>
    </row>
    <row r="109" spans="2:50">
      <c r="B109" s="157">
        <v>2149</v>
      </c>
      <c r="C109" s="158">
        <v>287066</v>
      </c>
      <c r="D109" s="157">
        <v>282980</v>
      </c>
      <c r="E109" s="159" t="s">
        <v>1626</v>
      </c>
      <c r="F109" s="160" t="s">
        <v>1515</v>
      </c>
      <c r="G109" s="160"/>
      <c r="H109" s="160"/>
      <c r="I109" s="157">
        <v>1</v>
      </c>
      <c r="J109" s="159"/>
      <c r="K109" s="157">
        <v>0</v>
      </c>
      <c r="L109" s="159" t="s">
        <v>1516</v>
      </c>
      <c r="M109" s="159"/>
      <c r="N109" s="159" t="s">
        <v>1788</v>
      </c>
      <c r="O109" s="159" t="s">
        <v>1789</v>
      </c>
      <c r="P109" s="159" t="s">
        <v>683</v>
      </c>
      <c r="Q109" s="159"/>
      <c r="R109" s="159"/>
      <c r="S109" s="161">
        <v>44770</v>
      </c>
      <c r="T109" s="161">
        <v>44770</v>
      </c>
      <c r="U109" s="159" t="s">
        <v>1514</v>
      </c>
      <c r="V109" s="157">
        <v>1000</v>
      </c>
      <c r="W109" s="157">
        <v>14040</v>
      </c>
      <c r="X109" s="162">
        <v>590.19000000000005</v>
      </c>
      <c r="Y109" s="157">
        <v>14046</v>
      </c>
      <c r="Z109" s="162">
        <v>103.29</v>
      </c>
      <c r="AA109" s="162">
        <v>486.90000000000003</v>
      </c>
      <c r="AB109" s="162">
        <v>19.68</v>
      </c>
      <c r="AC109" s="157">
        <v>51260</v>
      </c>
      <c r="AD109" s="162">
        <v>4.92</v>
      </c>
      <c r="AE109" s="157" t="s">
        <v>433</v>
      </c>
      <c r="AF109" s="159"/>
      <c r="AG109" s="159"/>
      <c r="AH109" s="159" t="s">
        <v>2</v>
      </c>
      <c r="AI109" s="159" t="s">
        <v>1785</v>
      </c>
      <c r="AJ109" s="159" t="s">
        <v>1787</v>
      </c>
      <c r="AK109" s="159">
        <v>43</v>
      </c>
      <c r="AL109" s="159" t="s">
        <v>450</v>
      </c>
      <c r="AM109" s="159" t="s">
        <v>450</v>
      </c>
      <c r="AN109" s="275">
        <f t="shared" si="21"/>
        <v>7</v>
      </c>
      <c r="AO109" s="275">
        <f t="shared" si="22"/>
        <v>2022</v>
      </c>
      <c r="AP109" s="276">
        <f t="shared" si="23"/>
        <v>2032</v>
      </c>
      <c r="AQ109" s="277">
        <f t="shared" si="24"/>
        <v>2032.5833333333333</v>
      </c>
      <c r="AR109" s="278">
        <f t="shared" si="25"/>
        <v>4.9182500000000005</v>
      </c>
      <c r="AS109" s="279">
        <f t="shared" si="26"/>
        <v>59.019000000000005</v>
      </c>
      <c r="AT109" s="279">
        <f t="shared" si="27"/>
        <v>59.019000000000005</v>
      </c>
      <c r="AU109" s="279">
        <f t="shared" si="28"/>
        <v>39.346000000004437</v>
      </c>
      <c r="AV109" s="279">
        <f t="shared" si="29"/>
        <v>98.365000000004443</v>
      </c>
      <c r="AW109" s="280">
        <f t="shared" si="30"/>
        <v>491.82499999999561</v>
      </c>
      <c r="AX109" s="281" t="s">
        <v>77</v>
      </c>
    </row>
    <row r="110" spans="2:50">
      <c r="B110" s="157">
        <v>2149</v>
      </c>
      <c r="C110" s="158">
        <v>286703</v>
      </c>
      <c r="D110" s="157">
        <v>284456</v>
      </c>
      <c r="E110" s="159" t="s">
        <v>1626</v>
      </c>
      <c r="F110" s="160" t="s">
        <v>1530</v>
      </c>
      <c r="G110" s="160"/>
      <c r="H110" s="160"/>
      <c r="I110" s="157">
        <v>1</v>
      </c>
      <c r="J110" s="159" t="s">
        <v>1528</v>
      </c>
      <c r="K110" s="157">
        <v>2023</v>
      </c>
      <c r="L110" s="159"/>
      <c r="M110" s="159"/>
      <c r="N110" s="159" t="s">
        <v>1788</v>
      </c>
      <c r="O110" s="159" t="s">
        <v>1789</v>
      </c>
      <c r="P110" s="159" t="s">
        <v>683</v>
      </c>
      <c r="Q110" s="159"/>
      <c r="R110" s="159"/>
      <c r="S110" s="161">
        <v>44742</v>
      </c>
      <c r="T110" s="161">
        <v>44742</v>
      </c>
      <c r="U110" s="159" t="s">
        <v>1529</v>
      </c>
      <c r="V110" s="157">
        <v>1000</v>
      </c>
      <c r="W110" s="157">
        <v>14040</v>
      </c>
      <c r="X110" s="162">
        <v>83913.9</v>
      </c>
      <c r="Y110" s="157">
        <v>14046</v>
      </c>
      <c r="Z110" s="162">
        <v>15384.2</v>
      </c>
      <c r="AA110" s="162">
        <v>68529.7</v>
      </c>
      <c r="AB110" s="162">
        <v>2797.12</v>
      </c>
      <c r="AC110" s="157">
        <v>51260</v>
      </c>
      <c r="AD110" s="162">
        <v>699.28</v>
      </c>
      <c r="AE110" s="157" t="s">
        <v>433</v>
      </c>
      <c r="AF110" s="159"/>
      <c r="AG110" s="159"/>
      <c r="AH110" s="159" t="s">
        <v>2</v>
      </c>
      <c r="AI110" s="159" t="s">
        <v>1785</v>
      </c>
      <c r="AJ110" s="159" t="s">
        <v>1787</v>
      </c>
      <c r="AK110" s="159">
        <v>51</v>
      </c>
      <c r="AL110" s="159" t="s">
        <v>1567</v>
      </c>
      <c r="AM110" s="159" t="s">
        <v>1567</v>
      </c>
      <c r="AN110" s="275">
        <f t="shared" si="21"/>
        <v>6</v>
      </c>
      <c r="AO110" s="275">
        <f t="shared" si="22"/>
        <v>2022</v>
      </c>
      <c r="AP110" s="276">
        <f t="shared" si="23"/>
        <v>2032</v>
      </c>
      <c r="AQ110" s="277">
        <f t="shared" si="24"/>
        <v>2032.5</v>
      </c>
      <c r="AR110" s="278">
        <f t="shared" si="25"/>
        <v>699.28249999999991</v>
      </c>
      <c r="AS110" s="279">
        <f t="shared" si="26"/>
        <v>8391.39</v>
      </c>
      <c r="AT110" s="279">
        <f t="shared" si="27"/>
        <v>8391.39</v>
      </c>
      <c r="AU110" s="279">
        <f t="shared" si="28"/>
        <v>6293.5425000000105</v>
      </c>
      <c r="AV110" s="279">
        <f t="shared" si="29"/>
        <v>14684.93250000001</v>
      </c>
      <c r="AW110" s="280">
        <f t="shared" si="30"/>
        <v>69228.967499999984</v>
      </c>
      <c r="AX110" s="281" t="s">
        <v>77</v>
      </c>
    </row>
    <row r="111" spans="2:50">
      <c r="B111" s="157">
        <v>2149</v>
      </c>
      <c r="C111" s="158">
        <v>286702</v>
      </c>
      <c r="D111" s="157" t="s">
        <v>433</v>
      </c>
      <c r="E111" s="159" t="s">
        <v>1626</v>
      </c>
      <c r="F111" s="160" t="s">
        <v>1549</v>
      </c>
      <c r="G111" s="160"/>
      <c r="H111" s="160"/>
      <c r="I111" s="157">
        <v>1</v>
      </c>
      <c r="J111" s="159" t="s">
        <v>1550</v>
      </c>
      <c r="K111" s="157">
        <v>2023</v>
      </c>
      <c r="L111" s="159" t="s">
        <v>1146</v>
      </c>
      <c r="M111" s="159" t="s">
        <v>854</v>
      </c>
      <c r="N111" s="159" t="s">
        <v>1788</v>
      </c>
      <c r="O111" s="159" t="s">
        <v>1789</v>
      </c>
      <c r="P111" s="159" t="s">
        <v>1814</v>
      </c>
      <c r="Q111" s="159"/>
      <c r="R111" s="159"/>
      <c r="S111" s="161">
        <v>44804</v>
      </c>
      <c r="T111" s="161">
        <v>44804</v>
      </c>
      <c r="U111" s="159" t="s">
        <v>1551</v>
      </c>
      <c r="V111" s="157">
        <v>1000</v>
      </c>
      <c r="W111" s="157">
        <v>14040</v>
      </c>
      <c r="X111" s="162">
        <v>392634.19</v>
      </c>
      <c r="Y111" s="157">
        <v>14046</v>
      </c>
      <c r="Z111" s="162">
        <v>65439.03</v>
      </c>
      <c r="AA111" s="162">
        <v>327195.16000000003</v>
      </c>
      <c r="AB111" s="162">
        <v>13087.8</v>
      </c>
      <c r="AC111" s="157">
        <v>51260</v>
      </c>
      <c r="AD111" s="162">
        <v>3271.95</v>
      </c>
      <c r="AE111" s="157" t="s">
        <v>433</v>
      </c>
      <c r="AF111" s="159"/>
      <c r="AG111" s="159">
        <v>44</v>
      </c>
      <c r="AH111" s="159" t="s">
        <v>2</v>
      </c>
      <c r="AI111" s="159" t="s">
        <v>1785</v>
      </c>
      <c r="AJ111" s="159" t="s">
        <v>1787</v>
      </c>
      <c r="AK111" s="159">
        <v>44</v>
      </c>
      <c r="AL111" s="159" t="s">
        <v>1566</v>
      </c>
      <c r="AM111" s="159" t="s">
        <v>1566</v>
      </c>
      <c r="AN111" s="275">
        <f t="shared" si="21"/>
        <v>8</v>
      </c>
      <c r="AO111" s="275">
        <f t="shared" si="22"/>
        <v>2022</v>
      </c>
      <c r="AP111" s="276">
        <f t="shared" si="23"/>
        <v>2032</v>
      </c>
      <c r="AQ111" s="277">
        <f t="shared" si="24"/>
        <v>2032.6666666666667</v>
      </c>
      <c r="AR111" s="278">
        <f t="shared" si="25"/>
        <v>3271.9515833333335</v>
      </c>
      <c r="AS111" s="279">
        <f t="shared" si="26"/>
        <v>39263.419000000002</v>
      </c>
      <c r="AT111" s="279">
        <f t="shared" si="27"/>
        <v>39263.419000000002</v>
      </c>
      <c r="AU111" s="279">
        <f t="shared" si="28"/>
        <v>22903.661083330342</v>
      </c>
      <c r="AV111" s="279">
        <f t="shared" si="29"/>
        <v>62167.080083330344</v>
      </c>
      <c r="AW111" s="280">
        <f t="shared" si="30"/>
        <v>330467.10991666967</v>
      </c>
      <c r="AX111" s="281" t="s">
        <v>77</v>
      </c>
    </row>
    <row r="112" spans="2:50">
      <c r="B112" s="157">
        <v>2149</v>
      </c>
      <c r="C112" s="158">
        <v>285622</v>
      </c>
      <c r="D112" s="157" t="s">
        <v>433</v>
      </c>
      <c r="E112" s="159" t="s">
        <v>1626</v>
      </c>
      <c r="F112" s="160" t="s">
        <v>1548</v>
      </c>
      <c r="G112" s="160"/>
      <c r="H112" s="160"/>
      <c r="I112" s="157">
        <v>1</v>
      </c>
      <c r="J112" s="159"/>
      <c r="K112" s="157">
        <v>0</v>
      </c>
      <c r="L112" s="159" t="s">
        <v>1521</v>
      </c>
      <c r="M112" s="159"/>
      <c r="N112" s="159" t="s">
        <v>1798</v>
      </c>
      <c r="O112" s="159" t="s">
        <v>1789</v>
      </c>
      <c r="P112" s="159"/>
      <c r="Q112" s="159"/>
      <c r="R112" s="159"/>
      <c r="S112" s="161">
        <v>44754</v>
      </c>
      <c r="T112" s="161">
        <v>44754</v>
      </c>
      <c r="U112" s="159" t="s">
        <v>1547</v>
      </c>
      <c r="V112" s="157">
        <v>300</v>
      </c>
      <c r="W112" s="157">
        <v>14110</v>
      </c>
      <c r="X112" s="162">
        <v>1459.77</v>
      </c>
      <c r="Y112" s="157">
        <v>14116</v>
      </c>
      <c r="Z112" s="162">
        <v>892.09</v>
      </c>
      <c r="AA112" s="162">
        <v>567.67999999999995</v>
      </c>
      <c r="AB112" s="162">
        <v>162.19999999999999</v>
      </c>
      <c r="AC112" s="157">
        <v>70260</v>
      </c>
      <c r="AD112" s="162">
        <v>40.549999999999997</v>
      </c>
      <c r="AE112" s="157" t="s">
        <v>433</v>
      </c>
      <c r="AF112" s="159"/>
      <c r="AG112" s="159"/>
      <c r="AH112" s="159" t="s">
        <v>2</v>
      </c>
      <c r="AI112" s="159" t="s">
        <v>1785</v>
      </c>
      <c r="AJ112" s="159" t="s">
        <v>1787</v>
      </c>
      <c r="AK112" s="159">
        <v>0</v>
      </c>
      <c r="AL112" s="159" t="s">
        <v>23</v>
      </c>
      <c r="AM112" s="159" t="s">
        <v>23</v>
      </c>
      <c r="AN112" s="275">
        <f t="shared" si="21"/>
        <v>7</v>
      </c>
      <c r="AO112" s="275">
        <f t="shared" si="22"/>
        <v>2022</v>
      </c>
      <c r="AP112" s="276">
        <f t="shared" si="23"/>
        <v>2025</v>
      </c>
      <c r="AQ112" s="277">
        <f t="shared" si="24"/>
        <v>2025.5833333333333</v>
      </c>
      <c r="AR112" s="278">
        <f t="shared" si="25"/>
        <v>40.549166666666665</v>
      </c>
      <c r="AS112" s="279">
        <f t="shared" si="26"/>
        <v>486.59</v>
      </c>
      <c r="AT112" s="279">
        <f t="shared" si="27"/>
        <v>486.59</v>
      </c>
      <c r="AU112" s="279">
        <f t="shared" si="28"/>
        <v>324.39333333337026</v>
      </c>
      <c r="AV112" s="279">
        <f t="shared" si="29"/>
        <v>810.98333333337018</v>
      </c>
      <c r="AW112" s="280">
        <f t="shared" si="30"/>
        <v>648.7866666666298</v>
      </c>
      <c r="AX112" s="281" t="s">
        <v>77</v>
      </c>
    </row>
    <row r="113" spans="2:50">
      <c r="B113" s="157">
        <v>2149</v>
      </c>
      <c r="C113" s="158">
        <v>285621</v>
      </c>
      <c r="D113" s="157" t="s">
        <v>433</v>
      </c>
      <c r="E113" s="159" t="s">
        <v>1626</v>
      </c>
      <c r="F113" s="160" t="s">
        <v>1545</v>
      </c>
      <c r="G113" s="160"/>
      <c r="H113" s="160"/>
      <c r="I113" s="157">
        <v>1</v>
      </c>
      <c r="J113" s="159"/>
      <c r="K113" s="157">
        <v>0</v>
      </c>
      <c r="L113" s="159" t="s">
        <v>1546</v>
      </c>
      <c r="M113" s="159"/>
      <c r="N113" s="159" t="s">
        <v>1798</v>
      </c>
      <c r="O113" s="159" t="s">
        <v>1789</v>
      </c>
      <c r="P113" s="159"/>
      <c r="Q113" s="159"/>
      <c r="R113" s="159"/>
      <c r="S113" s="161">
        <v>44754</v>
      </c>
      <c r="T113" s="161">
        <v>44754</v>
      </c>
      <c r="U113" s="159" t="s">
        <v>1547</v>
      </c>
      <c r="V113" s="157">
        <v>300</v>
      </c>
      <c r="W113" s="157">
        <v>14110</v>
      </c>
      <c r="X113" s="162">
        <v>306.3</v>
      </c>
      <c r="Y113" s="157">
        <v>14116</v>
      </c>
      <c r="Z113" s="162">
        <v>187.19</v>
      </c>
      <c r="AA113" s="162">
        <v>119.11000000000001</v>
      </c>
      <c r="AB113" s="162">
        <v>34.04</v>
      </c>
      <c r="AC113" s="157">
        <v>70260</v>
      </c>
      <c r="AD113" s="162">
        <v>8.51</v>
      </c>
      <c r="AE113" s="157" t="s">
        <v>433</v>
      </c>
      <c r="AF113" s="159"/>
      <c r="AG113" s="159"/>
      <c r="AH113" s="159" t="s">
        <v>2</v>
      </c>
      <c r="AI113" s="159" t="s">
        <v>1785</v>
      </c>
      <c r="AJ113" s="159" t="s">
        <v>1787</v>
      </c>
      <c r="AK113" s="159">
        <v>0</v>
      </c>
      <c r="AL113" s="159" t="s">
        <v>23</v>
      </c>
      <c r="AM113" s="159" t="s">
        <v>23</v>
      </c>
      <c r="AN113" s="275">
        <f t="shared" ref="AN113:AN144" si="31">MONTH($S113)</f>
        <v>7</v>
      </c>
      <c r="AO113" s="275">
        <f t="shared" ref="AO113:AO144" si="32">YEAR($S113)</f>
        <v>2022</v>
      </c>
      <c r="AP113" s="276">
        <f t="shared" ref="AP113:AP144" si="33">$AO113+($V113/100)</f>
        <v>2025</v>
      </c>
      <c r="AQ113" s="277">
        <f t="shared" ref="AQ113:AQ144" si="34">$AP113+($AN113/12)</f>
        <v>2025.5833333333333</v>
      </c>
      <c r="AR113" s="278">
        <f t="shared" ref="AR113:AR144" si="35">IFERROR($X113/($V113/100)/12,0)</f>
        <v>8.5083333333333346</v>
      </c>
      <c r="AS113" s="279">
        <f t="shared" ref="AS113:AS144" si="36">$AR113*12</f>
        <v>102.10000000000002</v>
      </c>
      <c r="AT113" s="279">
        <f t="shared" ref="AT113:AT144" si="37">IF(AQ113&lt;$AK$12,0,AS113)</f>
        <v>102.10000000000002</v>
      </c>
      <c r="AU113" s="279">
        <f t="shared" ref="AU113:AU144" si="38">IF(AQ113&lt;=$AK$13,X113,IF((AO113+(AN113/12))&gt;=$AK$13,0,((X113-((AQ113-$AK$13)*12)*AR113))))</f>
        <v>68.066666666674394</v>
      </c>
      <c r="AV113" s="279">
        <f t="shared" ref="AV113:AV144" si="39">IF(AQ113&lt;$AK$12,X113,AT113+AU113)</f>
        <v>170.16666666667442</v>
      </c>
      <c r="AW113" s="280">
        <f t="shared" ref="AW113:AW144" si="40">+X113-AV113</f>
        <v>136.1333333333256</v>
      </c>
      <c r="AX113" s="281" t="s">
        <v>77</v>
      </c>
    </row>
    <row r="114" spans="2:50">
      <c r="B114" s="157">
        <v>2149</v>
      </c>
      <c r="C114" s="158">
        <v>285620</v>
      </c>
      <c r="D114" s="157" t="s">
        <v>433</v>
      </c>
      <c r="E114" s="159" t="s">
        <v>1626</v>
      </c>
      <c r="F114" s="160" t="s">
        <v>1544</v>
      </c>
      <c r="G114" s="160"/>
      <c r="H114" s="160"/>
      <c r="I114" s="157">
        <v>1</v>
      </c>
      <c r="J114" s="159"/>
      <c r="K114" s="157">
        <v>0</v>
      </c>
      <c r="L114" s="159" t="s">
        <v>1521</v>
      </c>
      <c r="M114" s="159"/>
      <c r="N114" s="159" t="s">
        <v>1798</v>
      </c>
      <c r="O114" s="159" t="s">
        <v>1789</v>
      </c>
      <c r="P114" s="159"/>
      <c r="Q114" s="159"/>
      <c r="R114" s="159"/>
      <c r="S114" s="161">
        <v>44754</v>
      </c>
      <c r="T114" s="161">
        <v>44754</v>
      </c>
      <c r="U114" s="159" t="s">
        <v>1543</v>
      </c>
      <c r="V114" s="157">
        <v>300</v>
      </c>
      <c r="W114" s="157">
        <v>14110</v>
      </c>
      <c r="X114" s="162">
        <v>1459.77</v>
      </c>
      <c r="Y114" s="157">
        <v>14116</v>
      </c>
      <c r="Z114" s="162">
        <v>892.09</v>
      </c>
      <c r="AA114" s="162">
        <v>567.67999999999995</v>
      </c>
      <c r="AB114" s="162">
        <v>162.19999999999999</v>
      </c>
      <c r="AC114" s="157">
        <v>70260</v>
      </c>
      <c r="AD114" s="162">
        <v>40.549999999999997</v>
      </c>
      <c r="AE114" s="157" t="s">
        <v>433</v>
      </c>
      <c r="AF114" s="159"/>
      <c r="AG114" s="159"/>
      <c r="AH114" s="159" t="s">
        <v>2</v>
      </c>
      <c r="AI114" s="159" t="s">
        <v>1785</v>
      </c>
      <c r="AJ114" s="159" t="s">
        <v>1787</v>
      </c>
      <c r="AK114" s="159">
        <v>0</v>
      </c>
      <c r="AL114" s="159" t="s">
        <v>23</v>
      </c>
      <c r="AM114" s="159" t="s">
        <v>23</v>
      </c>
      <c r="AN114" s="275">
        <f t="shared" si="31"/>
        <v>7</v>
      </c>
      <c r="AO114" s="275">
        <f t="shared" si="32"/>
        <v>2022</v>
      </c>
      <c r="AP114" s="276">
        <f t="shared" si="33"/>
        <v>2025</v>
      </c>
      <c r="AQ114" s="277">
        <f t="shared" si="34"/>
        <v>2025.5833333333333</v>
      </c>
      <c r="AR114" s="278">
        <f t="shared" si="35"/>
        <v>40.549166666666665</v>
      </c>
      <c r="AS114" s="279">
        <f t="shared" si="36"/>
        <v>486.59</v>
      </c>
      <c r="AT114" s="279">
        <f t="shared" si="37"/>
        <v>486.59</v>
      </c>
      <c r="AU114" s="279">
        <f t="shared" si="38"/>
        <v>324.39333333337026</v>
      </c>
      <c r="AV114" s="279">
        <f t="shared" si="39"/>
        <v>810.98333333337018</v>
      </c>
      <c r="AW114" s="280">
        <f t="shared" si="40"/>
        <v>648.7866666666298</v>
      </c>
      <c r="AX114" s="281" t="s">
        <v>77</v>
      </c>
    </row>
    <row r="115" spans="2:50">
      <c r="B115" s="157">
        <v>2149</v>
      </c>
      <c r="C115" s="158">
        <v>285619</v>
      </c>
      <c r="D115" s="157" t="s">
        <v>433</v>
      </c>
      <c r="E115" s="159" t="s">
        <v>1626</v>
      </c>
      <c r="F115" s="160" t="s">
        <v>1523</v>
      </c>
      <c r="G115" s="160"/>
      <c r="H115" s="160"/>
      <c r="I115" s="157">
        <v>1</v>
      </c>
      <c r="J115" s="159"/>
      <c r="K115" s="157">
        <v>0</v>
      </c>
      <c r="L115" s="159" t="s">
        <v>1542</v>
      </c>
      <c r="M115" s="159"/>
      <c r="N115" s="159" t="s">
        <v>1798</v>
      </c>
      <c r="O115" s="159" t="s">
        <v>1789</v>
      </c>
      <c r="P115" s="159"/>
      <c r="Q115" s="159"/>
      <c r="R115" s="159"/>
      <c r="S115" s="161">
        <v>44754</v>
      </c>
      <c r="T115" s="161">
        <v>44754</v>
      </c>
      <c r="U115" s="159" t="s">
        <v>1543</v>
      </c>
      <c r="V115" s="157">
        <v>300</v>
      </c>
      <c r="W115" s="157">
        <v>14110</v>
      </c>
      <c r="X115" s="162">
        <v>306.3</v>
      </c>
      <c r="Y115" s="157">
        <v>14116</v>
      </c>
      <c r="Z115" s="162">
        <v>187.19</v>
      </c>
      <c r="AA115" s="162">
        <v>119.11000000000001</v>
      </c>
      <c r="AB115" s="162">
        <v>34.04</v>
      </c>
      <c r="AC115" s="157">
        <v>70260</v>
      </c>
      <c r="AD115" s="162">
        <v>8.51</v>
      </c>
      <c r="AE115" s="157" t="s">
        <v>433</v>
      </c>
      <c r="AF115" s="159"/>
      <c r="AG115" s="159"/>
      <c r="AH115" s="159" t="s">
        <v>2</v>
      </c>
      <c r="AI115" s="159" t="s">
        <v>1785</v>
      </c>
      <c r="AJ115" s="159" t="s">
        <v>1787</v>
      </c>
      <c r="AK115" s="159">
        <v>0</v>
      </c>
      <c r="AL115" s="159" t="s">
        <v>23</v>
      </c>
      <c r="AM115" s="159" t="s">
        <v>23</v>
      </c>
      <c r="AN115" s="275">
        <f t="shared" si="31"/>
        <v>7</v>
      </c>
      <c r="AO115" s="275">
        <f t="shared" si="32"/>
        <v>2022</v>
      </c>
      <c r="AP115" s="276">
        <f t="shared" si="33"/>
        <v>2025</v>
      </c>
      <c r="AQ115" s="277">
        <f t="shared" si="34"/>
        <v>2025.5833333333333</v>
      </c>
      <c r="AR115" s="278">
        <f t="shared" si="35"/>
        <v>8.5083333333333346</v>
      </c>
      <c r="AS115" s="279">
        <f t="shared" si="36"/>
        <v>102.10000000000002</v>
      </c>
      <c r="AT115" s="279">
        <f t="shared" si="37"/>
        <v>102.10000000000002</v>
      </c>
      <c r="AU115" s="279">
        <f t="shared" si="38"/>
        <v>68.066666666674394</v>
      </c>
      <c r="AV115" s="279">
        <f t="shared" si="39"/>
        <v>170.16666666667442</v>
      </c>
      <c r="AW115" s="280">
        <f t="shared" si="40"/>
        <v>136.1333333333256</v>
      </c>
      <c r="AX115" s="281" t="s">
        <v>77</v>
      </c>
    </row>
    <row r="116" spans="2:50">
      <c r="B116" s="157">
        <v>2149</v>
      </c>
      <c r="C116" s="158">
        <v>285618</v>
      </c>
      <c r="D116" s="157" t="s">
        <v>433</v>
      </c>
      <c r="E116" s="159" t="s">
        <v>1626</v>
      </c>
      <c r="F116" s="160" t="s">
        <v>1541</v>
      </c>
      <c r="G116" s="160"/>
      <c r="H116" s="160"/>
      <c r="I116" s="157">
        <v>1</v>
      </c>
      <c r="J116" s="159"/>
      <c r="K116" s="157">
        <v>0</v>
      </c>
      <c r="L116" s="159" t="s">
        <v>1521</v>
      </c>
      <c r="M116" s="159"/>
      <c r="N116" s="159" t="s">
        <v>1798</v>
      </c>
      <c r="O116" s="159" t="s">
        <v>1789</v>
      </c>
      <c r="P116" s="159"/>
      <c r="Q116" s="159"/>
      <c r="R116" s="159"/>
      <c r="S116" s="161">
        <v>44754</v>
      </c>
      <c r="T116" s="161">
        <v>44754</v>
      </c>
      <c r="U116" s="159" t="s">
        <v>1540</v>
      </c>
      <c r="V116" s="157">
        <v>300</v>
      </c>
      <c r="W116" s="157">
        <v>14110</v>
      </c>
      <c r="X116" s="162">
        <v>1459.77</v>
      </c>
      <c r="Y116" s="157">
        <v>14116</v>
      </c>
      <c r="Z116" s="162">
        <v>892.09</v>
      </c>
      <c r="AA116" s="162">
        <v>567.67999999999995</v>
      </c>
      <c r="AB116" s="162">
        <v>162.19999999999999</v>
      </c>
      <c r="AC116" s="157">
        <v>70260</v>
      </c>
      <c r="AD116" s="162">
        <v>40.549999999999997</v>
      </c>
      <c r="AE116" s="157" t="s">
        <v>433</v>
      </c>
      <c r="AF116" s="159"/>
      <c r="AG116" s="159"/>
      <c r="AH116" s="159" t="s">
        <v>2</v>
      </c>
      <c r="AI116" s="159" t="s">
        <v>1785</v>
      </c>
      <c r="AJ116" s="159" t="s">
        <v>1787</v>
      </c>
      <c r="AK116" s="159">
        <v>0</v>
      </c>
      <c r="AL116" s="159" t="s">
        <v>22</v>
      </c>
      <c r="AM116" s="159" t="s">
        <v>22</v>
      </c>
      <c r="AN116" s="275">
        <f t="shared" si="31"/>
        <v>7</v>
      </c>
      <c r="AO116" s="275">
        <f t="shared" si="32"/>
        <v>2022</v>
      </c>
      <c r="AP116" s="276">
        <f t="shared" si="33"/>
        <v>2025</v>
      </c>
      <c r="AQ116" s="277">
        <f t="shared" si="34"/>
        <v>2025.5833333333333</v>
      </c>
      <c r="AR116" s="278">
        <f t="shared" si="35"/>
        <v>40.549166666666665</v>
      </c>
      <c r="AS116" s="279">
        <f t="shared" si="36"/>
        <v>486.59</v>
      </c>
      <c r="AT116" s="279">
        <f t="shared" si="37"/>
        <v>486.59</v>
      </c>
      <c r="AU116" s="279">
        <f t="shared" si="38"/>
        <v>324.39333333337026</v>
      </c>
      <c r="AV116" s="279">
        <f t="shared" si="39"/>
        <v>810.98333333337018</v>
      </c>
      <c r="AW116" s="280">
        <f t="shared" si="40"/>
        <v>648.7866666666298</v>
      </c>
      <c r="AX116" s="281" t="s">
        <v>77</v>
      </c>
    </row>
    <row r="117" spans="2:50">
      <c r="B117" s="157">
        <v>2149</v>
      </c>
      <c r="C117" s="158">
        <v>285617</v>
      </c>
      <c r="D117" s="157" t="s">
        <v>433</v>
      </c>
      <c r="E117" s="159" t="s">
        <v>1626</v>
      </c>
      <c r="F117" s="160" t="s">
        <v>1538</v>
      </c>
      <c r="G117" s="160"/>
      <c r="H117" s="160"/>
      <c r="I117" s="157">
        <v>1</v>
      </c>
      <c r="J117" s="159"/>
      <c r="K117" s="157">
        <v>0</v>
      </c>
      <c r="L117" s="159" t="s">
        <v>1539</v>
      </c>
      <c r="M117" s="159"/>
      <c r="N117" s="159" t="s">
        <v>1798</v>
      </c>
      <c r="O117" s="159" t="s">
        <v>1789</v>
      </c>
      <c r="P117" s="159"/>
      <c r="Q117" s="159"/>
      <c r="R117" s="159"/>
      <c r="S117" s="161">
        <v>44754</v>
      </c>
      <c r="T117" s="161">
        <v>44754</v>
      </c>
      <c r="U117" s="159" t="s">
        <v>1540</v>
      </c>
      <c r="V117" s="157">
        <v>300</v>
      </c>
      <c r="W117" s="157">
        <v>14110</v>
      </c>
      <c r="X117" s="162">
        <v>306.3</v>
      </c>
      <c r="Y117" s="157">
        <v>14116</v>
      </c>
      <c r="Z117" s="162">
        <v>187.19</v>
      </c>
      <c r="AA117" s="162">
        <v>119.11000000000001</v>
      </c>
      <c r="AB117" s="162">
        <v>34.04</v>
      </c>
      <c r="AC117" s="157">
        <v>70260</v>
      </c>
      <c r="AD117" s="162">
        <v>8.51</v>
      </c>
      <c r="AE117" s="157" t="s">
        <v>433</v>
      </c>
      <c r="AF117" s="159"/>
      <c r="AG117" s="159"/>
      <c r="AH117" s="159" t="s">
        <v>2</v>
      </c>
      <c r="AI117" s="159" t="s">
        <v>1785</v>
      </c>
      <c r="AJ117" s="159" t="s">
        <v>1787</v>
      </c>
      <c r="AK117" s="159">
        <v>0</v>
      </c>
      <c r="AL117" s="159" t="s">
        <v>22</v>
      </c>
      <c r="AM117" s="159" t="s">
        <v>22</v>
      </c>
      <c r="AN117" s="275">
        <f t="shared" si="31"/>
        <v>7</v>
      </c>
      <c r="AO117" s="275">
        <f t="shared" si="32"/>
        <v>2022</v>
      </c>
      <c r="AP117" s="276">
        <f t="shared" si="33"/>
        <v>2025</v>
      </c>
      <c r="AQ117" s="277">
        <f t="shared" si="34"/>
        <v>2025.5833333333333</v>
      </c>
      <c r="AR117" s="278">
        <f t="shared" si="35"/>
        <v>8.5083333333333346</v>
      </c>
      <c r="AS117" s="279">
        <f t="shared" si="36"/>
        <v>102.10000000000002</v>
      </c>
      <c r="AT117" s="279">
        <f t="shared" si="37"/>
        <v>102.10000000000002</v>
      </c>
      <c r="AU117" s="279">
        <f t="shared" si="38"/>
        <v>68.066666666674394</v>
      </c>
      <c r="AV117" s="279">
        <f t="shared" si="39"/>
        <v>170.16666666667442</v>
      </c>
      <c r="AW117" s="280">
        <f t="shared" si="40"/>
        <v>136.1333333333256</v>
      </c>
      <c r="AX117" s="281" t="s">
        <v>77</v>
      </c>
    </row>
    <row r="118" spans="2:50">
      <c r="B118" s="157">
        <v>2149</v>
      </c>
      <c r="C118" s="158">
        <v>285291</v>
      </c>
      <c r="D118" s="157" t="s">
        <v>433</v>
      </c>
      <c r="E118" s="159" t="s">
        <v>1626</v>
      </c>
      <c r="F118" s="160" t="s">
        <v>1537</v>
      </c>
      <c r="G118" s="160"/>
      <c r="H118" s="160"/>
      <c r="I118" s="157">
        <v>480</v>
      </c>
      <c r="J118" s="159"/>
      <c r="K118" s="157">
        <v>0</v>
      </c>
      <c r="L118" s="159" t="s">
        <v>1368</v>
      </c>
      <c r="M118" s="159"/>
      <c r="N118" s="159" t="s">
        <v>646</v>
      </c>
      <c r="O118" s="159" t="s">
        <v>1789</v>
      </c>
      <c r="P118" s="159"/>
      <c r="Q118" s="159"/>
      <c r="R118" s="159"/>
      <c r="S118" s="161">
        <v>44763</v>
      </c>
      <c r="T118" s="161">
        <v>44763</v>
      </c>
      <c r="U118" s="159" t="s">
        <v>1536</v>
      </c>
      <c r="V118" s="157">
        <v>700</v>
      </c>
      <c r="W118" s="157">
        <v>14050</v>
      </c>
      <c r="X118" s="162">
        <v>31763.59</v>
      </c>
      <c r="Y118" s="157">
        <v>14056</v>
      </c>
      <c r="Z118" s="162">
        <v>7940.91</v>
      </c>
      <c r="AA118" s="162">
        <v>23822.68</v>
      </c>
      <c r="AB118" s="162">
        <v>1512.56</v>
      </c>
      <c r="AC118" s="157">
        <v>54260</v>
      </c>
      <c r="AD118" s="162">
        <v>378.14</v>
      </c>
      <c r="AE118" s="157" t="s">
        <v>433</v>
      </c>
      <c r="AF118" s="159"/>
      <c r="AG118" s="159"/>
      <c r="AH118" s="159" t="s">
        <v>2</v>
      </c>
      <c r="AI118" s="159" t="s">
        <v>1785</v>
      </c>
      <c r="AJ118" s="159" t="s">
        <v>1787</v>
      </c>
      <c r="AK118" s="159">
        <v>0</v>
      </c>
      <c r="AL118" s="159" t="s">
        <v>573</v>
      </c>
      <c r="AM118" s="159" t="s">
        <v>573</v>
      </c>
      <c r="AN118" s="275">
        <f t="shared" si="31"/>
        <v>7</v>
      </c>
      <c r="AO118" s="275">
        <f t="shared" si="32"/>
        <v>2022</v>
      </c>
      <c r="AP118" s="276">
        <f t="shared" si="33"/>
        <v>2029</v>
      </c>
      <c r="AQ118" s="277">
        <f t="shared" si="34"/>
        <v>2029.5833333333333</v>
      </c>
      <c r="AR118" s="278">
        <f t="shared" si="35"/>
        <v>378.13797619047619</v>
      </c>
      <c r="AS118" s="279">
        <f t="shared" si="36"/>
        <v>4537.6557142857146</v>
      </c>
      <c r="AT118" s="279">
        <f t="shared" si="37"/>
        <v>4537.6557142857146</v>
      </c>
      <c r="AU118" s="279">
        <f t="shared" si="38"/>
        <v>3025.1038095241529</v>
      </c>
      <c r="AV118" s="279">
        <f t="shared" si="39"/>
        <v>7562.7595238098675</v>
      </c>
      <c r="AW118" s="280">
        <f t="shared" si="40"/>
        <v>24200.830476190131</v>
      </c>
      <c r="AX118" s="281" t="s">
        <v>77</v>
      </c>
    </row>
    <row r="119" spans="2:50">
      <c r="B119" s="157">
        <v>2149</v>
      </c>
      <c r="C119" s="158">
        <v>285290</v>
      </c>
      <c r="D119" s="157" t="s">
        <v>433</v>
      </c>
      <c r="E119" s="159" t="s">
        <v>1626</v>
      </c>
      <c r="F119" s="160" t="s">
        <v>1535</v>
      </c>
      <c r="G119" s="160"/>
      <c r="H119" s="160"/>
      <c r="I119" s="157">
        <v>272</v>
      </c>
      <c r="J119" s="159"/>
      <c r="K119" s="157">
        <v>0</v>
      </c>
      <c r="L119" s="159" t="s">
        <v>1368</v>
      </c>
      <c r="M119" s="159"/>
      <c r="N119" s="159" t="s">
        <v>646</v>
      </c>
      <c r="O119" s="159" t="s">
        <v>1789</v>
      </c>
      <c r="P119" s="159"/>
      <c r="Q119" s="159"/>
      <c r="R119" s="159"/>
      <c r="S119" s="161">
        <v>44763</v>
      </c>
      <c r="T119" s="161">
        <v>44763</v>
      </c>
      <c r="U119" s="159" t="s">
        <v>1536</v>
      </c>
      <c r="V119" s="157">
        <v>700</v>
      </c>
      <c r="W119" s="157">
        <v>14050</v>
      </c>
      <c r="X119" s="162">
        <v>16240.45</v>
      </c>
      <c r="Y119" s="157">
        <v>14056</v>
      </c>
      <c r="Z119" s="162">
        <v>4060.12</v>
      </c>
      <c r="AA119" s="162">
        <v>12180.330000000002</v>
      </c>
      <c r="AB119" s="162">
        <v>773.36</v>
      </c>
      <c r="AC119" s="157">
        <v>54260</v>
      </c>
      <c r="AD119" s="162">
        <v>193.34</v>
      </c>
      <c r="AE119" s="157" t="s">
        <v>433</v>
      </c>
      <c r="AF119" s="159"/>
      <c r="AG119" s="159"/>
      <c r="AH119" s="159" t="s">
        <v>2</v>
      </c>
      <c r="AI119" s="159" t="s">
        <v>1785</v>
      </c>
      <c r="AJ119" s="159" t="s">
        <v>1787</v>
      </c>
      <c r="AK119" s="159">
        <v>0</v>
      </c>
      <c r="AL119" s="159" t="s">
        <v>573</v>
      </c>
      <c r="AM119" s="159" t="s">
        <v>573</v>
      </c>
      <c r="AN119" s="275">
        <f t="shared" si="31"/>
        <v>7</v>
      </c>
      <c r="AO119" s="275">
        <f t="shared" si="32"/>
        <v>2022</v>
      </c>
      <c r="AP119" s="276">
        <f t="shared" si="33"/>
        <v>2029</v>
      </c>
      <c r="AQ119" s="277">
        <f t="shared" si="34"/>
        <v>2029.5833333333333</v>
      </c>
      <c r="AR119" s="278">
        <f t="shared" si="35"/>
        <v>193.33869047619046</v>
      </c>
      <c r="AS119" s="279">
        <f t="shared" si="36"/>
        <v>2320.0642857142857</v>
      </c>
      <c r="AT119" s="279">
        <f t="shared" si="37"/>
        <v>2320.0642857142857</v>
      </c>
      <c r="AU119" s="279">
        <f t="shared" si="38"/>
        <v>1546.7095238097008</v>
      </c>
      <c r="AV119" s="279">
        <f t="shared" si="39"/>
        <v>3866.7738095239865</v>
      </c>
      <c r="AW119" s="280">
        <f t="shared" si="40"/>
        <v>12373.676190476013</v>
      </c>
      <c r="AX119" s="281" t="s">
        <v>77</v>
      </c>
    </row>
    <row r="120" spans="2:50">
      <c r="B120" s="157">
        <v>2149</v>
      </c>
      <c r="C120" s="158">
        <v>285280</v>
      </c>
      <c r="D120" s="157" t="s">
        <v>433</v>
      </c>
      <c r="E120" s="159" t="s">
        <v>1626</v>
      </c>
      <c r="F120" s="160" t="s">
        <v>1533</v>
      </c>
      <c r="G120" s="160"/>
      <c r="H120" s="160"/>
      <c r="I120" s="157">
        <v>36</v>
      </c>
      <c r="J120" s="159"/>
      <c r="K120" s="157">
        <v>0</v>
      </c>
      <c r="L120" s="159" t="s">
        <v>1245</v>
      </c>
      <c r="M120" s="159"/>
      <c r="N120" s="159" t="s">
        <v>646</v>
      </c>
      <c r="O120" s="159" t="s">
        <v>1789</v>
      </c>
      <c r="P120" s="159"/>
      <c r="Q120" s="159" t="s">
        <v>1790</v>
      </c>
      <c r="R120" s="159" t="s">
        <v>1791</v>
      </c>
      <c r="S120" s="161">
        <v>44743</v>
      </c>
      <c r="T120" s="161">
        <v>44743</v>
      </c>
      <c r="U120" s="159" t="s">
        <v>1534</v>
      </c>
      <c r="V120" s="157">
        <v>1200</v>
      </c>
      <c r="W120" s="157">
        <v>14050</v>
      </c>
      <c r="X120" s="162">
        <v>23112</v>
      </c>
      <c r="Y120" s="157">
        <v>14056</v>
      </c>
      <c r="Z120" s="162">
        <v>3531</v>
      </c>
      <c r="AA120" s="162">
        <v>19581</v>
      </c>
      <c r="AB120" s="162">
        <v>642</v>
      </c>
      <c r="AC120" s="157">
        <v>54260</v>
      </c>
      <c r="AD120" s="162">
        <v>160.5</v>
      </c>
      <c r="AE120" s="157" t="s">
        <v>433</v>
      </c>
      <c r="AF120" s="159"/>
      <c r="AG120" s="159"/>
      <c r="AH120" s="159" t="s">
        <v>2</v>
      </c>
      <c r="AI120" s="159" t="s">
        <v>1785</v>
      </c>
      <c r="AJ120" s="159" t="s">
        <v>1787</v>
      </c>
      <c r="AK120" s="159">
        <v>0</v>
      </c>
      <c r="AL120" s="159" t="s">
        <v>16</v>
      </c>
      <c r="AM120" s="159" t="s">
        <v>16</v>
      </c>
      <c r="AN120" s="275">
        <f t="shared" si="31"/>
        <v>7</v>
      </c>
      <c r="AO120" s="275">
        <f t="shared" si="32"/>
        <v>2022</v>
      </c>
      <c r="AP120" s="276">
        <f t="shared" si="33"/>
        <v>2034</v>
      </c>
      <c r="AQ120" s="277">
        <f t="shared" si="34"/>
        <v>2034.5833333333333</v>
      </c>
      <c r="AR120" s="278">
        <f t="shared" si="35"/>
        <v>160.5</v>
      </c>
      <c r="AS120" s="279">
        <f t="shared" si="36"/>
        <v>1926</v>
      </c>
      <c r="AT120" s="279">
        <f t="shared" si="37"/>
        <v>1926</v>
      </c>
      <c r="AU120" s="279">
        <f t="shared" si="38"/>
        <v>1284.0000000001455</v>
      </c>
      <c r="AV120" s="279">
        <f t="shared" si="39"/>
        <v>3210.0000000001455</v>
      </c>
      <c r="AW120" s="280">
        <f t="shared" si="40"/>
        <v>19901.999999999854</v>
      </c>
      <c r="AX120" s="281" t="s">
        <v>77</v>
      </c>
    </row>
    <row r="121" spans="2:50">
      <c r="B121" s="157">
        <v>2149</v>
      </c>
      <c r="C121" s="158">
        <v>284456</v>
      </c>
      <c r="D121" s="157" t="s">
        <v>433</v>
      </c>
      <c r="E121" s="159" t="s">
        <v>1626</v>
      </c>
      <c r="F121" s="160" t="s">
        <v>1527</v>
      </c>
      <c r="G121" s="160"/>
      <c r="H121" s="160"/>
      <c r="I121" s="157">
        <v>1</v>
      </c>
      <c r="J121" s="159" t="s">
        <v>1528</v>
      </c>
      <c r="K121" s="157">
        <v>2023</v>
      </c>
      <c r="L121" s="159" t="s">
        <v>1146</v>
      </c>
      <c r="M121" s="159" t="s">
        <v>1587</v>
      </c>
      <c r="N121" s="159" t="s">
        <v>1788</v>
      </c>
      <c r="O121" s="159" t="s">
        <v>1789</v>
      </c>
      <c r="P121" s="159" t="s">
        <v>1802</v>
      </c>
      <c r="Q121" s="159"/>
      <c r="R121" s="159"/>
      <c r="S121" s="161">
        <v>44736</v>
      </c>
      <c r="T121" s="161">
        <v>44736</v>
      </c>
      <c r="U121" s="159" t="s">
        <v>1529</v>
      </c>
      <c r="V121" s="157">
        <v>1000</v>
      </c>
      <c r="W121" s="157">
        <v>14040</v>
      </c>
      <c r="X121" s="162">
        <v>207540.64</v>
      </c>
      <c r="Y121" s="157">
        <v>14046</v>
      </c>
      <c r="Z121" s="162">
        <v>38049.129999999997</v>
      </c>
      <c r="AA121" s="162">
        <v>169491.51</v>
      </c>
      <c r="AB121" s="162">
        <v>6918.04</v>
      </c>
      <c r="AC121" s="157">
        <v>51260</v>
      </c>
      <c r="AD121" s="162">
        <v>1729.51</v>
      </c>
      <c r="AE121" s="157" t="s">
        <v>433</v>
      </c>
      <c r="AF121" s="159"/>
      <c r="AG121" s="159">
        <v>51</v>
      </c>
      <c r="AH121" s="159" t="s">
        <v>2</v>
      </c>
      <c r="AI121" s="159" t="s">
        <v>1785</v>
      </c>
      <c r="AJ121" s="159" t="s">
        <v>1787</v>
      </c>
      <c r="AK121" s="159">
        <v>51</v>
      </c>
      <c r="AL121" s="159" t="s">
        <v>1567</v>
      </c>
      <c r="AM121" s="159" t="s">
        <v>1567</v>
      </c>
      <c r="AN121" s="275">
        <f t="shared" si="31"/>
        <v>6</v>
      </c>
      <c r="AO121" s="275">
        <f t="shared" si="32"/>
        <v>2022</v>
      </c>
      <c r="AP121" s="276">
        <f t="shared" si="33"/>
        <v>2032</v>
      </c>
      <c r="AQ121" s="277">
        <f t="shared" si="34"/>
        <v>2032.5</v>
      </c>
      <c r="AR121" s="278">
        <f t="shared" si="35"/>
        <v>1729.5053333333335</v>
      </c>
      <c r="AS121" s="279">
        <f t="shared" si="36"/>
        <v>20754.064000000002</v>
      </c>
      <c r="AT121" s="279">
        <f t="shared" si="37"/>
        <v>20754.064000000002</v>
      </c>
      <c r="AU121" s="279">
        <f t="shared" si="38"/>
        <v>15565.547999999981</v>
      </c>
      <c r="AV121" s="279">
        <f t="shared" si="39"/>
        <v>36319.611999999979</v>
      </c>
      <c r="AW121" s="280">
        <f t="shared" si="40"/>
        <v>171221.02800000005</v>
      </c>
      <c r="AX121" s="281" t="s">
        <v>77</v>
      </c>
    </row>
    <row r="122" spans="2:50">
      <c r="B122" s="157">
        <v>2149</v>
      </c>
      <c r="C122" s="158">
        <v>284369</v>
      </c>
      <c r="D122" s="157" t="s">
        <v>433</v>
      </c>
      <c r="E122" s="159" t="s">
        <v>1626</v>
      </c>
      <c r="F122" s="160" t="s">
        <v>1525</v>
      </c>
      <c r="G122" s="160"/>
      <c r="H122" s="160"/>
      <c r="I122" s="157">
        <v>2</v>
      </c>
      <c r="J122" s="159"/>
      <c r="K122" s="157">
        <v>0</v>
      </c>
      <c r="L122" s="159" t="s">
        <v>1245</v>
      </c>
      <c r="M122" s="159"/>
      <c r="N122" s="159" t="s">
        <v>646</v>
      </c>
      <c r="O122" s="159" t="s">
        <v>1789</v>
      </c>
      <c r="P122" s="159"/>
      <c r="Q122" s="159" t="s">
        <v>1796</v>
      </c>
      <c r="R122" s="159" t="s">
        <v>1794</v>
      </c>
      <c r="S122" s="161">
        <v>44711</v>
      </c>
      <c r="T122" s="161">
        <v>44711</v>
      </c>
      <c r="U122" s="159" t="s">
        <v>1526</v>
      </c>
      <c r="V122" s="157">
        <v>1200</v>
      </c>
      <c r="W122" s="157">
        <v>14050</v>
      </c>
      <c r="X122" s="162">
        <v>12740.61</v>
      </c>
      <c r="Y122" s="157">
        <v>14056</v>
      </c>
      <c r="Z122" s="162">
        <v>2034.98</v>
      </c>
      <c r="AA122" s="162">
        <v>10705.630000000001</v>
      </c>
      <c r="AB122" s="162">
        <v>353.92</v>
      </c>
      <c r="AC122" s="157">
        <v>54260</v>
      </c>
      <c r="AD122" s="162">
        <v>88.48</v>
      </c>
      <c r="AE122" s="157" t="s">
        <v>433</v>
      </c>
      <c r="AF122" s="159"/>
      <c r="AG122" s="159"/>
      <c r="AH122" s="159" t="s">
        <v>2</v>
      </c>
      <c r="AI122" s="159" t="s">
        <v>1785</v>
      </c>
      <c r="AJ122" s="159" t="s">
        <v>1787</v>
      </c>
      <c r="AK122" s="159">
        <v>0</v>
      </c>
      <c r="AL122" s="159" t="s">
        <v>17</v>
      </c>
      <c r="AM122" s="159" t="s">
        <v>17</v>
      </c>
      <c r="AN122" s="275">
        <f t="shared" si="31"/>
        <v>5</v>
      </c>
      <c r="AO122" s="275">
        <f t="shared" si="32"/>
        <v>2022</v>
      </c>
      <c r="AP122" s="276">
        <f t="shared" si="33"/>
        <v>2034</v>
      </c>
      <c r="AQ122" s="277">
        <f t="shared" si="34"/>
        <v>2034.4166666666667</v>
      </c>
      <c r="AR122" s="278">
        <f t="shared" si="35"/>
        <v>88.476458333333326</v>
      </c>
      <c r="AS122" s="279">
        <f t="shared" si="36"/>
        <v>1061.7175</v>
      </c>
      <c r="AT122" s="279">
        <f t="shared" si="37"/>
        <v>1061.7175</v>
      </c>
      <c r="AU122" s="279">
        <f t="shared" si="38"/>
        <v>884.76458333325354</v>
      </c>
      <c r="AV122" s="279">
        <f t="shared" si="39"/>
        <v>1946.4820833332535</v>
      </c>
      <c r="AW122" s="280">
        <f t="shared" si="40"/>
        <v>10794.127916666746</v>
      </c>
      <c r="AX122" s="281" t="s">
        <v>77</v>
      </c>
    </row>
    <row r="123" spans="2:50">
      <c r="B123" s="157">
        <v>2149</v>
      </c>
      <c r="C123" s="158">
        <v>284178</v>
      </c>
      <c r="D123" s="157" t="s">
        <v>433</v>
      </c>
      <c r="E123" s="159" t="s">
        <v>1626</v>
      </c>
      <c r="F123" s="160" t="s">
        <v>1520</v>
      </c>
      <c r="G123" s="160"/>
      <c r="H123" s="160"/>
      <c r="I123" s="157">
        <v>1</v>
      </c>
      <c r="J123" s="159"/>
      <c r="K123" s="157">
        <v>0</v>
      </c>
      <c r="L123" s="159" t="s">
        <v>1521</v>
      </c>
      <c r="M123" s="159"/>
      <c r="N123" s="159" t="s">
        <v>1798</v>
      </c>
      <c r="O123" s="159" t="s">
        <v>1789</v>
      </c>
      <c r="P123" s="159"/>
      <c r="Q123" s="159"/>
      <c r="R123" s="159"/>
      <c r="S123" s="161">
        <v>44733</v>
      </c>
      <c r="T123" s="161">
        <v>44733</v>
      </c>
      <c r="U123" s="159" t="s">
        <v>1522</v>
      </c>
      <c r="V123" s="157">
        <v>300</v>
      </c>
      <c r="W123" s="157">
        <v>14110</v>
      </c>
      <c r="X123" s="162">
        <v>1245.58</v>
      </c>
      <c r="Y123" s="157">
        <v>14116</v>
      </c>
      <c r="Z123" s="162">
        <v>761.19</v>
      </c>
      <c r="AA123" s="162">
        <v>484.38999999999987</v>
      </c>
      <c r="AB123" s="162">
        <v>138.4</v>
      </c>
      <c r="AC123" s="157">
        <v>70260</v>
      </c>
      <c r="AD123" s="162">
        <v>34.6</v>
      </c>
      <c r="AE123" s="157" t="s">
        <v>433</v>
      </c>
      <c r="AF123" s="159"/>
      <c r="AG123" s="159"/>
      <c r="AH123" s="159" t="s">
        <v>2</v>
      </c>
      <c r="AI123" s="159" t="s">
        <v>1785</v>
      </c>
      <c r="AJ123" s="159" t="s">
        <v>1787</v>
      </c>
      <c r="AK123" s="159">
        <v>0</v>
      </c>
      <c r="AL123" s="159" t="s">
        <v>23</v>
      </c>
      <c r="AM123" s="159" t="s">
        <v>23</v>
      </c>
      <c r="AN123" s="275">
        <f t="shared" si="31"/>
        <v>6</v>
      </c>
      <c r="AO123" s="275">
        <f t="shared" si="32"/>
        <v>2022</v>
      </c>
      <c r="AP123" s="276">
        <f t="shared" si="33"/>
        <v>2025</v>
      </c>
      <c r="AQ123" s="277">
        <f t="shared" si="34"/>
        <v>2025.5</v>
      </c>
      <c r="AR123" s="278">
        <f t="shared" si="35"/>
        <v>34.599444444444444</v>
      </c>
      <c r="AS123" s="279">
        <f t="shared" si="36"/>
        <v>415.19333333333333</v>
      </c>
      <c r="AT123" s="279">
        <f t="shared" si="37"/>
        <v>415.19333333333333</v>
      </c>
      <c r="AU123" s="279">
        <f t="shared" si="38"/>
        <v>311.39499999999998</v>
      </c>
      <c r="AV123" s="279">
        <f t="shared" si="39"/>
        <v>726.58833333333337</v>
      </c>
      <c r="AW123" s="280">
        <f t="shared" si="40"/>
        <v>518.99166666666656</v>
      </c>
      <c r="AX123" s="281" t="s">
        <v>77</v>
      </c>
    </row>
    <row r="124" spans="2:50">
      <c r="B124" s="157">
        <v>2149</v>
      </c>
      <c r="C124" s="158">
        <v>283491</v>
      </c>
      <c r="D124" s="157">
        <v>284178</v>
      </c>
      <c r="E124" s="159" t="s">
        <v>1626</v>
      </c>
      <c r="F124" s="160" t="s">
        <v>1523</v>
      </c>
      <c r="G124" s="160"/>
      <c r="H124" s="160"/>
      <c r="I124" s="157">
        <v>1</v>
      </c>
      <c r="J124" s="159"/>
      <c r="K124" s="157">
        <v>0</v>
      </c>
      <c r="L124" s="159" t="s">
        <v>1524</v>
      </c>
      <c r="M124" s="159"/>
      <c r="N124" s="159" t="s">
        <v>1798</v>
      </c>
      <c r="O124" s="159" t="s">
        <v>1789</v>
      </c>
      <c r="P124" s="159"/>
      <c r="Q124" s="159"/>
      <c r="R124" s="159"/>
      <c r="S124" s="161">
        <v>44733</v>
      </c>
      <c r="T124" s="161">
        <v>44733</v>
      </c>
      <c r="U124" s="159" t="s">
        <v>1522</v>
      </c>
      <c r="V124" s="157">
        <v>300</v>
      </c>
      <c r="W124" s="157">
        <v>14110</v>
      </c>
      <c r="X124" s="162">
        <v>306.3</v>
      </c>
      <c r="Y124" s="157">
        <v>14116</v>
      </c>
      <c r="Z124" s="162">
        <v>187.19</v>
      </c>
      <c r="AA124" s="162">
        <v>119.11000000000001</v>
      </c>
      <c r="AB124" s="162">
        <v>34.04</v>
      </c>
      <c r="AC124" s="157">
        <v>70260</v>
      </c>
      <c r="AD124" s="162">
        <v>8.51</v>
      </c>
      <c r="AE124" s="157" t="s">
        <v>433</v>
      </c>
      <c r="AF124" s="159"/>
      <c r="AG124" s="159"/>
      <c r="AH124" s="159" t="s">
        <v>2</v>
      </c>
      <c r="AI124" s="159" t="s">
        <v>1785</v>
      </c>
      <c r="AJ124" s="159" t="s">
        <v>1787</v>
      </c>
      <c r="AK124" s="159">
        <v>0</v>
      </c>
      <c r="AL124" s="159" t="s">
        <v>23</v>
      </c>
      <c r="AM124" s="159" t="s">
        <v>23</v>
      </c>
      <c r="AN124" s="275">
        <f t="shared" si="31"/>
        <v>6</v>
      </c>
      <c r="AO124" s="275">
        <f t="shared" si="32"/>
        <v>2022</v>
      </c>
      <c r="AP124" s="276">
        <f t="shared" si="33"/>
        <v>2025</v>
      </c>
      <c r="AQ124" s="277">
        <f t="shared" si="34"/>
        <v>2025.5</v>
      </c>
      <c r="AR124" s="278">
        <f t="shared" si="35"/>
        <v>8.5083333333333346</v>
      </c>
      <c r="AS124" s="279">
        <f t="shared" si="36"/>
        <v>102.10000000000002</v>
      </c>
      <c r="AT124" s="279">
        <f t="shared" si="37"/>
        <v>102.10000000000002</v>
      </c>
      <c r="AU124" s="279">
        <f t="shared" si="38"/>
        <v>76.574999999999989</v>
      </c>
      <c r="AV124" s="279">
        <f t="shared" si="39"/>
        <v>178.67500000000001</v>
      </c>
      <c r="AW124" s="280">
        <f t="shared" si="40"/>
        <v>127.625</v>
      </c>
      <c r="AX124" s="281" t="s">
        <v>77</v>
      </c>
    </row>
    <row r="125" spans="2:50">
      <c r="B125" s="157">
        <v>2149</v>
      </c>
      <c r="C125" s="158">
        <v>283320</v>
      </c>
      <c r="D125" s="157" t="s">
        <v>433</v>
      </c>
      <c r="E125" s="159" t="s">
        <v>1626</v>
      </c>
      <c r="F125" s="160" t="s">
        <v>1517</v>
      </c>
      <c r="G125" s="160"/>
      <c r="H125" s="160"/>
      <c r="I125" s="157">
        <v>1</v>
      </c>
      <c r="J125" s="159" t="s">
        <v>1518</v>
      </c>
      <c r="K125" s="157">
        <v>2007</v>
      </c>
      <c r="L125" s="159" t="s">
        <v>671</v>
      </c>
      <c r="M125" s="159" t="s">
        <v>1519</v>
      </c>
      <c r="N125" s="159" t="s">
        <v>1788</v>
      </c>
      <c r="O125" s="159" t="s">
        <v>1789</v>
      </c>
      <c r="P125" s="159" t="s">
        <v>1826</v>
      </c>
      <c r="Q125" s="159"/>
      <c r="R125" s="159"/>
      <c r="S125" s="161">
        <v>39755</v>
      </c>
      <c r="T125" s="161">
        <v>39755</v>
      </c>
      <c r="U125" s="159"/>
      <c r="V125" s="157">
        <v>800</v>
      </c>
      <c r="W125" s="157">
        <v>14040</v>
      </c>
      <c r="X125" s="162">
        <v>66500</v>
      </c>
      <c r="Y125" s="157">
        <v>14046</v>
      </c>
      <c r="Z125" s="162">
        <v>66500</v>
      </c>
      <c r="AA125" s="162">
        <v>0</v>
      </c>
      <c r="AB125" s="162">
        <v>0</v>
      </c>
      <c r="AC125" s="157">
        <v>51260</v>
      </c>
      <c r="AD125" s="162">
        <v>0</v>
      </c>
      <c r="AE125" s="157" t="s">
        <v>663</v>
      </c>
      <c r="AF125" s="159" t="s">
        <v>905</v>
      </c>
      <c r="AG125" s="159">
        <v>130</v>
      </c>
      <c r="AH125" s="159" t="s">
        <v>2</v>
      </c>
      <c r="AI125" s="159" t="s">
        <v>1785</v>
      </c>
      <c r="AJ125" s="159" t="s">
        <v>1787</v>
      </c>
      <c r="AK125" s="159">
        <v>0</v>
      </c>
      <c r="AL125" s="159" t="s">
        <v>1568</v>
      </c>
      <c r="AM125" s="159" t="s">
        <v>1568</v>
      </c>
      <c r="AN125" s="275">
        <f t="shared" si="31"/>
        <v>11</v>
      </c>
      <c r="AO125" s="275">
        <f t="shared" si="32"/>
        <v>2008</v>
      </c>
      <c r="AP125" s="276">
        <f t="shared" si="33"/>
        <v>2016</v>
      </c>
      <c r="AQ125" s="277">
        <f t="shared" si="34"/>
        <v>2016.9166666666667</v>
      </c>
      <c r="AR125" s="278">
        <f t="shared" si="35"/>
        <v>692.70833333333337</v>
      </c>
      <c r="AS125" s="279">
        <f t="shared" si="36"/>
        <v>8312.5</v>
      </c>
      <c r="AT125" s="279">
        <f t="shared" si="37"/>
        <v>0</v>
      </c>
      <c r="AU125" s="279">
        <f t="shared" si="38"/>
        <v>66500</v>
      </c>
      <c r="AV125" s="279">
        <f t="shared" si="39"/>
        <v>66500</v>
      </c>
      <c r="AW125" s="280">
        <f t="shared" si="40"/>
        <v>0</v>
      </c>
      <c r="AX125" s="281" t="s">
        <v>77</v>
      </c>
    </row>
    <row r="126" spans="2:50">
      <c r="B126" s="157">
        <v>2149</v>
      </c>
      <c r="C126" s="158">
        <v>282980</v>
      </c>
      <c r="D126" s="157" t="s">
        <v>433</v>
      </c>
      <c r="E126" s="159" t="s">
        <v>1626</v>
      </c>
      <c r="F126" s="160" t="s">
        <v>1419</v>
      </c>
      <c r="G126" s="160"/>
      <c r="H126" s="160"/>
      <c r="I126" s="157">
        <v>1</v>
      </c>
      <c r="J126" s="159" t="s">
        <v>1513</v>
      </c>
      <c r="K126" s="157">
        <v>2022</v>
      </c>
      <c r="L126" s="159" t="s">
        <v>1146</v>
      </c>
      <c r="M126" s="159" t="s">
        <v>854</v>
      </c>
      <c r="N126" s="159" t="s">
        <v>1788</v>
      </c>
      <c r="O126" s="159" t="s">
        <v>1789</v>
      </c>
      <c r="P126" s="159" t="s">
        <v>1814</v>
      </c>
      <c r="Q126" s="159"/>
      <c r="R126" s="159"/>
      <c r="S126" s="161">
        <v>44720</v>
      </c>
      <c r="T126" s="161">
        <v>44720</v>
      </c>
      <c r="U126" s="159" t="s">
        <v>1514</v>
      </c>
      <c r="V126" s="157">
        <v>1000</v>
      </c>
      <c r="W126" s="157">
        <v>14040</v>
      </c>
      <c r="X126" s="162">
        <v>395146.81</v>
      </c>
      <c r="Y126" s="157">
        <v>14046</v>
      </c>
      <c r="Z126" s="162">
        <v>75736.47</v>
      </c>
      <c r="AA126" s="162">
        <v>319410.33999999997</v>
      </c>
      <c r="AB126" s="162">
        <v>13171.56</v>
      </c>
      <c r="AC126" s="157">
        <v>51260</v>
      </c>
      <c r="AD126" s="162">
        <v>3292.89</v>
      </c>
      <c r="AE126" s="157" t="s">
        <v>433</v>
      </c>
      <c r="AF126" s="159"/>
      <c r="AG126" s="159">
        <v>43</v>
      </c>
      <c r="AH126" s="159" t="s">
        <v>2</v>
      </c>
      <c r="AI126" s="159" t="s">
        <v>1785</v>
      </c>
      <c r="AJ126" s="159" t="s">
        <v>1787</v>
      </c>
      <c r="AK126" s="159">
        <v>43</v>
      </c>
      <c r="AL126" s="159" t="s">
        <v>364</v>
      </c>
      <c r="AM126" s="159" t="s">
        <v>364</v>
      </c>
      <c r="AN126" s="275">
        <f t="shared" si="31"/>
        <v>6</v>
      </c>
      <c r="AO126" s="275">
        <f t="shared" si="32"/>
        <v>2022</v>
      </c>
      <c r="AP126" s="276">
        <f t="shared" si="33"/>
        <v>2032</v>
      </c>
      <c r="AQ126" s="277">
        <f t="shared" si="34"/>
        <v>2032.5</v>
      </c>
      <c r="AR126" s="278">
        <f t="shared" si="35"/>
        <v>3292.8900833333332</v>
      </c>
      <c r="AS126" s="279">
        <f t="shared" si="36"/>
        <v>39514.680999999997</v>
      </c>
      <c r="AT126" s="279">
        <f t="shared" si="37"/>
        <v>39514.680999999997</v>
      </c>
      <c r="AU126" s="279">
        <f t="shared" si="38"/>
        <v>29636.010750000016</v>
      </c>
      <c r="AV126" s="279">
        <f t="shared" si="39"/>
        <v>69150.691750000013</v>
      </c>
      <c r="AW126" s="280">
        <f t="shared" si="40"/>
        <v>325996.11825</v>
      </c>
      <c r="AX126" s="281" t="s">
        <v>77</v>
      </c>
    </row>
    <row r="127" spans="2:50">
      <c r="B127" s="157">
        <v>2149</v>
      </c>
      <c r="C127" s="158">
        <v>280499</v>
      </c>
      <c r="D127" s="157" t="s">
        <v>433</v>
      </c>
      <c r="E127" s="159" t="s">
        <v>1626</v>
      </c>
      <c r="F127" s="160" t="s">
        <v>676</v>
      </c>
      <c r="G127" s="160"/>
      <c r="H127" s="160"/>
      <c r="I127" s="157">
        <v>98</v>
      </c>
      <c r="J127" s="159"/>
      <c r="K127" s="157">
        <v>0</v>
      </c>
      <c r="L127" s="159"/>
      <c r="M127" s="159" t="s">
        <v>1512</v>
      </c>
      <c r="N127" s="159" t="s">
        <v>646</v>
      </c>
      <c r="O127" s="159" t="s">
        <v>1789</v>
      </c>
      <c r="P127" s="159"/>
      <c r="Q127" s="159" t="s">
        <v>1792</v>
      </c>
      <c r="R127" s="159" t="s">
        <v>1791</v>
      </c>
      <c r="S127" s="161">
        <v>44682</v>
      </c>
      <c r="T127" s="161">
        <v>44682</v>
      </c>
      <c r="U127" s="159"/>
      <c r="V127" s="157">
        <v>0</v>
      </c>
      <c r="W127" s="157">
        <v>14050</v>
      </c>
      <c r="X127" s="162">
        <v>0</v>
      </c>
      <c r="Y127" s="157">
        <v>14056</v>
      </c>
      <c r="Z127" s="162">
        <v>0</v>
      </c>
      <c r="AA127" s="162">
        <v>0</v>
      </c>
      <c r="AB127" s="162">
        <v>0</v>
      </c>
      <c r="AC127" s="157">
        <v>54260</v>
      </c>
      <c r="AD127" s="162">
        <v>0</v>
      </c>
      <c r="AE127" s="157" t="s">
        <v>433</v>
      </c>
      <c r="AF127" s="159"/>
      <c r="AG127" s="159"/>
      <c r="AH127" s="159" t="s">
        <v>2</v>
      </c>
      <c r="AI127" s="159" t="s">
        <v>1785</v>
      </c>
      <c r="AJ127" s="159" t="s">
        <v>662</v>
      </c>
      <c r="AK127" s="159">
        <v>0</v>
      </c>
      <c r="AL127" s="159" t="s">
        <v>16</v>
      </c>
      <c r="AM127" s="159" t="s">
        <v>16</v>
      </c>
      <c r="AN127" s="275">
        <f t="shared" si="31"/>
        <v>5</v>
      </c>
      <c r="AO127" s="275">
        <f t="shared" si="32"/>
        <v>2022</v>
      </c>
      <c r="AP127" s="276">
        <f t="shared" si="33"/>
        <v>2022</v>
      </c>
      <c r="AQ127" s="277">
        <f t="shared" si="34"/>
        <v>2022.4166666666667</v>
      </c>
      <c r="AR127" s="278">
        <f t="shared" si="35"/>
        <v>0</v>
      </c>
      <c r="AS127" s="279">
        <f t="shared" si="36"/>
        <v>0</v>
      </c>
      <c r="AT127" s="279">
        <f t="shared" si="37"/>
        <v>0</v>
      </c>
      <c r="AU127" s="279">
        <f t="shared" si="38"/>
        <v>0</v>
      </c>
      <c r="AV127" s="279">
        <f t="shared" si="39"/>
        <v>0</v>
      </c>
      <c r="AW127" s="280">
        <f t="shared" si="40"/>
        <v>0</v>
      </c>
      <c r="AX127" s="281" t="s">
        <v>77</v>
      </c>
    </row>
    <row r="128" spans="2:50">
      <c r="B128" s="157">
        <v>2149</v>
      </c>
      <c r="C128" s="158">
        <v>279901</v>
      </c>
      <c r="D128" s="157" t="s">
        <v>433</v>
      </c>
      <c r="E128" s="159" t="s">
        <v>1626</v>
      </c>
      <c r="F128" s="160" t="s">
        <v>1511</v>
      </c>
      <c r="G128" s="160"/>
      <c r="H128" s="160"/>
      <c r="I128" s="157">
        <v>2</v>
      </c>
      <c r="J128" s="159"/>
      <c r="K128" s="157">
        <v>0</v>
      </c>
      <c r="L128" s="159"/>
      <c r="M128" s="159"/>
      <c r="N128" s="159" t="s">
        <v>646</v>
      </c>
      <c r="O128" s="159" t="s">
        <v>1789</v>
      </c>
      <c r="P128" s="159"/>
      <c r="Q128" s="159" t="s">
        <v>1793</v>
      </c>
      <c r="R128" s="159" t="s">
        <v>1794</v>
      </c>
      <c r="S128" s="161">
        <v>39755</v>
      </c>
      <c r="T128" s="161">
        <v>39755</v>
      </c>
      <c r="U128" s="159"/>
      <c r="V128" s="157">
        <v>700</v>
      </c>
      <c r="W128" s="157">
        <v>14050</v>
      </c>
      <c r="X128" s="162">
        <v>39000</v>
      </c>
      <c r="Y128" s="157">
        <v>14056</v>
      </c>
      <c r="Z128" s="162">
        <v>39000</v>
      </c>
      <c r="AA128" s="162">
        <v>0</v>
      </c>
      <c r="AB128" s="162">
        <v>0</v>
      </c>
      <c r="AC128" s="157">
        <v>54260</v>
      </c>
      <c r="AD128" s="162">
        <v>0</v>
      </c>
      <c r="AE128" s="157" t="s">
        <v>663</v>
      </c>
      <c r="AF128" s="159" t="s">
        <v>905</v>
      </c>
      <c r="AG128" s="159" t="s">
        <v>1212</v>
      </c>
      <c r="AH128" s="159" t="s">
        <v>2</v>
      </c>
      <c r="AI128" s="159" t="s">
        <v>1785</v>
      </c>
      <c r="AJ128" s="159" t="s">
        <v>1787</v>
      </c>
      <c r="AK128" s="159">
        <v>0</v>
      </c>
      <c r="AL128" s="159" t="s">
        <v>17</v>
      </c>
      <c r="AM128" s="159" t="s">
        <v>17</v>
      </c>
      <c r="AN128" s="275">
        <f t="shared" si="31"/>
        <v>11</v>
      </c>
      <c r="AO128" s="275">
        <f t="shared" si="32"/>
        <v>2008</v>
      </c>
      <c r="AP128" s="276">
        <f t="shared" si="33"/>
        <v>2015</v>
      </c>
      <c r="AQ128" s="277">
        <f t="shared" si="34"/>
        <v>2015.9166666666667</v>
      </c>
      <c r="AR128" s="278">
        <f t="shared" si="35"/>
        <v>464.28571428571428</v>
      </c>
      <c r="AS128" s="279">
        <f t="shared" si="36"/>
        <v>5571.4285714285716</v>
      </c>
      <c r="AT128" s="279">
        <f t="shared" si="37"/>
        <v>0</v>
      </c>
      <c r="AU128" s="279">
        <f t="shared" si="38"/>
        <v>39000</v>
      </c>
      <c r="AV128" s="279">
        <f t="shared" si="39"/>
        <v>39000</v>
      </c>
      <c r="AW128" s="280">
        <f t="shared" si="40"/>
        <v>0</v>
      </c>
      <c r="AX128" s="281" t="s">
        <v>77</v>
      </c>
    </row>
    <row r="129" spans="2:50">
      <c r="B129" s="157">
        <v>2149</v>
      </c>
      <c r="C129" s="158">
        <v>279857</v>
      </c>
      <c r="D129" s="157" t="s">
        <v>433</v>
      </c>
      <c r="E129" s="159" t="s">
        <v>1626</v>
      </c>
      <c r="F129" s="160" t="s">
        <v>1364</v>
      </c>
      <c r="G129" s="160"/>
      <c r="H129" s="160"/>
      <c r="I129" s="157">
        <v>7</v>
      </c>
      <c r="J129" s="159"/>
      <c r="K129" s="157">
        <v>0</v>
      </c>
      <c r="L129" s="159"/>
      <c r="M129" s="159"/>
      <c r="N129" s="159" t="s">
        <v>646</v>
      </c>
      <c r="O129" s="159" t="s">
        <v>1789</v>
      </c>
      <c r="P129" s="159"/>
      <c r="Q129" s="159" t="s">
        <v>1796</v>
      </c>
      <c r="R129" s="159" t="s">
        <v>1794</v>
      </c>
      <c r="S129" s="161">
        <v>39755</v>
      </c>
      <c r="T129" s="161">
        <v>39755</v>
      </c>
      <c r="U129" s="159"/>
      <c r="V129" s="157">
        <v>700</v>
      </c>
      <c r="W129" s="157">
        <v>14050</v>
      </c>
      <c r="X129" s="162">
        <v>9347.6200000000008</v>
      </c>
      <c r="Y129" s="157">
        <v>14056</v>
      </c>
      <c r="Z129" s="162">
        <v>9347.6200000000008</v>
      </c>
      <c r="AA129" s="162">
        <v>0</v>
      </c>
      <c r="AB129" s="162">
        <v>0</v>
      </c>
      <c r="AC129" s="157">
        <v>54260</v>
      </c>
      <c r="AD129" s="162">
        <v>0</v>
      </c>
      <c r="AE129" s="157" t="s">
        <v>663</v>
      </c>
      <c r="AF129" s="159" t="s">
        <v>905</v>
      </c>
      <c r="AG129" s="159" t="s">
        <v>1212</v>
      </c>
      <c r="AH129" s="159" t="s">
        <v>2</v>
      </c>
      <c r="AI129" s="159" t="s">
        <v>1785</v>
      </c>
      <c r="AJ129" s="159" t="s">
        <v>1787</v>
      </c>
      <c r="AK129" s="159">
        <v>0</v>
      </c>
      <c r="AL129" s="159" t="s">
        <v>17</v>
      </c>
      <c r="AM129" s="159" t="s">
        <v>17</v>
      </c>
      <c r="AN129" s="275">
        <f t="shared" si="31"/>
        <v>11</v>
      </c>
      <c r="AO129" s="275">
        <f t="shared" si="32"/>
        <v>2008</v>
      </c>
      <c r="AP129" s="276">
        <f t="shared" si="33"/>
        <v>2015</v>
      </c>
      <c r="AQ129" s="277">
        <f t="shared" si="34"/>
        <v>2015.9166666666667</v>
      </c>
      <c r="AR129" s="278">
        <f t="shared" si="35"/>
        <v>111.28119047619049</v>
      </c>
      <c r="AS129" s="279">
        <f t="shared" si="36"/>
        <v>1335.3742857142859</v>
      </c>
      <c r="AT129" s="279">
        <f t="shared" si="37"/>
        <v>0</v>
      </c>
      <c r="AU129" s="279">
        <f t="shared" si="38"/>
        <v>9347.6200000000008</v>
      </c>
      <c r="AV129" s="279">
        <f t="shared" si="39"/>
        <v>9347.6200000000008</v>
      </c>
      <c r="AW129" s="280">
        <f t="shared" si="40"/>
        <v>0</v>
      </c>
      <c r="AX129" s="281" t="s">
        <v>77</v>
      </c>
    </row>
    <row r="130" spans="2:50">
      <c r="B130" s="157">
        <v>2149</v>
      </c>
      <c r="C130" s="158">
        <v>275566</v>
      </c>
      <c r="D130" s="157" t="s">
        <v>433</v>
      </c>
      <c r="E130" s="159" t="s">
        <v>1626</v>
      </c>
      <c r="F130" s="160" t="s">
        <v>1429</v>
      </c>
      <c r="G130" s="160"/>
      <c r="H130" s="160"/>
      <c r="I130" s="157">
        <v>210</v>
      </c>
      <c r="J130" s="159"/>
      <c r="K130" s="157">
        <v>0</v>
      </c>
      <c r="L130" s="159"/>
      <c r="M130" s="159"/>
      <c r="N130" s="159" t="s">
        <v>646</v>
      </c>
      <c r="O130" s="159" t="s">
        <v>1789</v>
      </c>
      <c r="P130" s="159"/>
      <c r="Q130" s="159"/>
      <c r="R130" s="159"/>
      <c r="S130" s="161">
        <v>44624</v>
      </c>
      <c r="T130" s="161">
        <v>44624</v>
      </c>
      <c r="U130" s="159" t="s">
        <v>1510</v>
      </c>
      <c r="V130" s="157">
        <v>700</v>
      </c>
      <c r="W130" s="157">
        <v>14050</v>
      </c>
      <c r="X130" s="162">
        <v>14373.54</v>
      </c>
      <c r="Y130" s="157">
        <v>14056</v>
      </c>
      <c r="Z130" s="162">
        <v>4448.9399999999996</v>
      </c>
      <c r="AA130" s="162">
        <v>9924.6000000000022</v>
      </c>
      <c r="AB130" s="162">
        <v>684.44</v>
      </c>
      <c r="AC130" s="157">
        <v>54260</v>
      </c>
      <c r="AD130" s="162">
        <v>171.11</v>
      </c>
      <c r="AE130" s="157" t="s">
        <v>433</v>
      </c>
      <c r="AF130" s="159"/>
      <c r="AG130" s="159"/>
      <c r="AH130" s="159" t="s">
        <v>2</v>
      </c>
      <c r="AI130" s="159" t="s">
        <v>1785</v>
      </c>
      <c r="AJ130" s="159" t="s">
        <v>1787</v>
      </c>
      <c r="AK130" s="159">
        <v>0</v>
      </c>
      <c r="AL130" s="159" t="s">
        <v>573</v>
      </c>
      <c r="AM130" s="159" t="s">
        <v>573</v>
      </c>
      <c r="AN130" s="275">
        <f t="shared" si="31"/>
        <v>3</v>
      </c>
      <c r="AO130" s="275">
        <f t="shared" si="32"/>
        <v>2022</v>
      </c>
      <c r="AP130" s="276">
        <f t="shared" si="33"/>
        <v>2029</v>
      </c>
      <c r="AQ130" s="277">
        <f t="shared" si="34"/>
        <v>2029.25</v>
      </c>
      <c r="AR130" s="278">
        <f t="shared" si="35"/>
        <v>171.11357142857142</v>
      </c>
      <c r="AS130" s="279">
        <f t="shared" si="36"/>
        <v>2053.3628571428571</v>
      </c>
      <c r="AT130" s="279">
        <f t="shared" si="37"/>
        <v>2053.3628571428571</v>
      </c>
      <c r="AU130" s="279">
        <f t="shared" si="38"/>
        <v>2053.362857142858</v>
      </c>
      <c r="AV130" s="279">
        <f t="shared" si="39"/>
        <v>4106.7257142857152</v>
      </c>
      <c r="AW130" s="280">
        <f t="shared" si="40"/>
        <v>10266.814285714285</v>
      </c>
      <c r="AX130" s="281" t="s">
        <v>77</v>
      </c>
    </row>
    <row r="131" spans="2:50">
      <c r="B131" s="157">
        <v>2149</v>
      </c>
      <c r="C131" s="158">
        <v>275272</v>
      </c>
      <c r="D131" s="157" t="s">
        <v>433</v>
      </c>
      <c r="E131" s="159" t="s">
        <v>1626</v>
      </c>
      <c r="F131" s="160" t="s">
        <v>1507</v>
      </c>
      <c r="G131" s="160"/>
      <c r="H131" s="160"/>
      <c r="I131" s="157">
        <v>1</v>
      </c>
      <c r="J131" s="159"/>
      <c r="K131" s="157">
        <v>0</v>
      </c>
      <c r="L131" s="159" t="s">
        <v>1508</v>
      </c>
      <c r="M131" s="159"/>
      <c r="N131" s="159" t="s">
        <v>1798</v>
      </c>
      <c r="O131" s="159" t="s">
        <v>1789</v>
      </c>
      <c r="P131" s="159"/>
      <c r="Q131" s="159"/>
      <c r="R131" s="159"/>
      <c r="S131" s="161">
        <v>44571</v>
      </c>
      <c r="T131" s="161">
        <v>44571</v>
      </c>
      <c r="U131" s="159" t="s">
        <v>1509</v>
      </c>
      <c r="V131" s="157">
        <v>200</v>
      </c>
      <c r="W131" s="157">
        <v>14110</v>
      </c>
      <c r="X131" s="162">
        <v>7026.19</v>
      </c>
      <c r="Y131" s="157">
        <v>14116</v>
      </c>
      <c r="Z131" s="162">
        <v>7026.19</v>
      </c>
      <c r="AA131" s="162">
        <v>0</v>
      </c>
      <c r="AB131" s="162">
        <v>0</v>
      </c>
      <c r="AC131" s="157">
        <v>70260</v>
      </c>
      <c r="AD131" s="162">
        <v>0</v>
      </c>
      <c r="AE131" s="157" t="s">
        <v>433</v>
      </c>
      <c r="AF131" s="159"/>
      <c r="AG131" s="159"/>
      <c r="AH131" s="159" t="s">
        <v>2</v>
      </c>
      <c r="AI131" s="159" t="s">
        <v>1785</v>
      </c>
      <c r="AJ131" s="159" t="s">
        <v>1787</v>
      </c>
      <c r="AK131" s="159">
        <v>0</v>
      </c>
      <c r="AL131" s="159" t="s">
        <v>22</v>
      </c>
      <c r="AM131" s="159" t="s">
        <v>22</v>
      </c>
      <c r="AN131" s="275">
        <f t="shared" si="31"/>
        <v>1</v>
      </c>
      <c r="AO131" s="275">
        <f t="shared" si="32"/>
        <v>2022</v>
      </c>
      <c r="AP131" s="276">
        <f t="shared" si="33"/>
        <v>2024</v>
      </c>
      <c r="AQ131" s="277">
        <f t="shared" si="34"/>
        <v>2024.0833333333333</v>
      </c>
      <c r="AR131" s="278">
        <f t="shared" si="35"/>
        <v>292.75791666666663</v>
      </c>
      <c r="AS131" s="279">
        <f t="shared" si="36"/>
        <v>3513.0949999999993</v>
      </c>
      <c r="AT131" s="279">
        <f t="shared" si="37"/>
        <v>0</v>
      </c>
      <c r="AU131" s="279">
        <f t="shared" si="38"/>
        <v>4098.6108333335997</v>
      </c>
      <c r="AV131" s="279">
        <f t="shared" si="39"/>
        <v>7026.19</v>
      </c>
      <c r="AW131" s="280">
        <f t="shared" si="40"/>
        <v>0</v>
      </c>
      <c r="AX131" s="281" t="s">
        <v>77</v>
      </c>
    </row>
    <row r="132" spans="2:50">
      <c r="B132" s="157">
        <v>2149</v>
      </c>
      <c r="C132" s="158">
        <v>274953</v>
      </c>
      <c r="D132" s="157" t="s">
        <v>433</v>
      </c>
      <c r="E132" s="159" t="s">
        <v>1626</v>
      </c>
      <c r="F132" s="160" t="s">
        <v>1505</v>
      </c>
      <c r="G132" s="160"/>
      <c r="H132" s="160"/>
      <c r="I132" s="157">
        <v>702</v>
      </c>
      <c r="J132" s="159"/>
      <c r="K132" s="157">
        <v>0</v>
      </c>
      <c r="L132" s="159" t="s">
        <v>1368</v>
      </c>
      <c r="M132" s="159"/>
      <c r="N132" s="159" t="s">
        <v>646</v>
      </c>
      <c r="O132" s="159" t="s">
        <v>1789</v>
      </c>
      <c r="P132" s="159"/>
      <c r="Q132" s="159"/>
      <c r="R132" s="159"/>
      <c r="S132" s="161">
        <v>44627</v>
      </c>
      <c r="T132" s="161">
        <v>44627</v>
      </c>
      <c r="U132" s="159" t="s">
        <v>1506</v>
      </c>
      <c r="V132" s="157">
        <v>700</v>
      </c>
      <c r="W132" s="157">
        <v>14050</v>
      </c>
      <c r="X132" s="162">
        <v>45822.07</v>
      </c>
      <c r="Y132" s="157">
        <v>14056</v>
      </c>
      <c r="Z132" s="162">
        <v>14183.02</v>
      </c>
      <c r="AA132" s="162">
        <v>31639.05</v>
      </c>
      <c r="AB132" s="162">
        <v>2182</v>
      </c>
      <c r="AC132" s="157">
        <v>54260</v>
      </c>
      <c r="AD132" s="162">
        <v>545.5</v>
      </c>
      <c r="AE132" s="157" t="s">
        <v>433</v>
      </c>
      <c r="AF132" s="159"/>
      <c r="AG132" s="159"/>
      <c r="AH132" s="159" t="s">
        <v>2</v>
      </c>
      <c r="AI132" s="159" t="s">
        <v>1785</v>
      </c>
      <c r="AJ132" s="159" t="s">
        <v>1787</v>
      </c>
      <c r="AK132" s="159">
        <v>0</v>
      </c>
      <c r="AL132" s="159" t="s">
        <v>574</v>
      </c>
      <c r="AM132" s="159" t="s">
        <v>574</v>
      </c>
      <c r="AN132" s="275">
        <f t="shared" si="31"/>
        <v>3</v>
      </c>
      <c r="AO132" s="275">
        <f t="shared" si="32"/>
        <v>2022</v>
      </c>
      <c r="AP132" s="276">
        <f t="shared" si="33"/>
        <v>2029</v>
      </c>
      <c r="AQ132" s="277">
        <f t="shared" si="34"/>
        <v>2029.25</v>
      </c>
      <c r="AR132" s="278">
        <f t="shared" si="35"/>
        <v>545.50083333333339</v>
      </c>
      <c r="AS132" s="279">
        <f t="shared" si="36"/>
        <v>6546.01</v>
      </c>
      <c r="AT132" s="279">
        <f t="shared" si="37"/>
        <v>6546.01</v>
      </c>
      <c r="AU132" s="279">
        <f t="shared" si="38"/>
        <v>6546.0099999999948</v>
      </c>
      <c r="AV132" s="279">
        <f t="shared" si="39"/>
        <v>13092.019999999995</v>
      </c>
      <c r="AW132" s="280">
        <f t="shared" si="40"/>
        <v>32730.050000000003</v>
      </c>
      <c r="AX132" s="281" t="s">
        <v>77</v>
      </c>
    </row>
    <row r="133" spans="2:50">
      <c r="B133" s="157">
        <v>2149</v>
      </c>
      <c r="C133" s="158">
        <v>273692</v>
      </c>
      <c r="D133" s="157" t="s">
        <v>433</v>
      </c>
      <c r="E133" s="159" t="s">
        <v>1626</v>
      </c>
      <c r="F133" s="160" t="s">
        <v>1503</v>
      </c>
      <c r="G133" s="160"/>
      <c r="H133" s="160"/>
      <c r="I133" s="157">
        <v>20</v>
      </c>
      <c r="J133" s="159"/>
      <c r="K133" s="157">
        <v>0</v>
      </c>
      <c r="L133" s="159" t="s">
        <v>1393</v>
      </c>
      <c r="M133" s="159"/>
      <c r="N133" s="159" t="s">
        <v>646</v>
      </c>
      <c r="O133" s="159" t="s">
        <v>1789</v>
      </c>
      <c r="P133" s="159"/>
      <c r="Q133" s="159"/>
      <c r="R133" s="159"/>
      <c r="S133" s="161">
        <v>44585</v>
      </c>
      <c r="T133" s="161">
        <v>44585</v>
      </c>
      <c r="U133" s="159" t="s">
        <v>1504</v>
      </c>
      <c r="V133" s="157">
        <v>700</v>
      </c>
      <c r="W133" s="157">
        <v>14050</v>
      </c>
      <c r="X133" s="162">
        <v>10448.549999999999</v>
      </c>
      <c r="Y133" s="157">
        <v>14056</v>
      </c>
      <c r="Z133" s="162">
        <v>3358.47</v>
      </c>
      <c r="AA133" s="162">
        <v>7090.08</v>
      </c>
      <c r="AB133" s="162">
        <v>497.56</v>
      </c>
      <c r="AC133" s="157">
        <v>54260</v>
      </c>
      <c r="AD133" s="162">
        <v>124.39</v>
      </c>
      <c r="AE133" s="157" t="s">
        <v>433</v>
      </c>
      <c r="AF133" s="159"/>
      <c r="AG133" s="159"/>
      <c r="AH133" s="159" t="s">
        <v>2</v>
      </c>
      <c r="AI133" s="159" t="s">
        <v>1785</v>
      </c>
      <c r="AJ133" s="159" t="s">
        <v>1787</v>
      </c>
      <c r="AK133" s="159">
        <v>0</v>
      </c>
      <c r="AL133" s="159" t="s">
        <v>364</v>
      </c>
      <c r="AM133" s="159" t="s">
        <v>364</v>
      </c>
      <c r="AN133" s="275">
        <f t="shared" si="31"/>
        <v>1</v>
      </c>
      <c r="AO133" s="275">
        <f t="shared" si="32"/>
        <v>2022</v>
      </c>
      <c r="AP133" s="276">
        <f t="shared" si="33"/>
        <v>2029</v>
      </c>
      <c r="AQ133" s="277">
        <f t="shared" si="34"/>
        <v>2029.0833333333333</v>
      </c>
      <c r="AR133" s="278">
        <f t="shared" si="35"/>
        <v>124.38749999999999</v>
      </c>
      <c r="AS133" s="279">
        <f t="shared" si="36"/>
        <v>1492.6499999999999</v>
      </c>
      <c r="AT133" s="279">
        <f t="shared" si="37"/>
        <v>1492.6499999999999</v>
      </c>
      <c r="AU133" s="279">
        <f t="shared" si="38"/>
        <v>1741.4250000001139</v>
      </c>
      <c r="AV133" s="279">
        <f t="shared" si="39"/>
        <v>3234.0750000001135</v>
      </c>
      <c r="AW133" s="280">
        <f t="shared" si="40"/>
        <v>7214.4749999998858</v>
      </c>
      <c r="AX133" s="281" t="s">
        <v>77</v>
      </c>
    </row>
    <row r="134" spans="2:50">
      <c r="B134" s="157">
        <v>2149</v>
      </c>
      <c r="C134" s="158">
        <v>273623</v>
      </c>
      <c r="D134" s="157" t="s">
        <v>433</v>
      </c>
      <c r="E134" s="159" t="s">
        <v>1626</v>
      </c>
      <c r="F134" s="160" t="s">
        <v>1501</v>
      </c>
      <c r="G134" s="160"/>
      <c r="H134" s="160"/>
      <c r="I134" s="157">
        <v>43</v>
      </c>
      <c r="J134" s="159"/>
      <c r="K134" s="157">
        <v>0</v>
      </c>
      <c r="L134" s="159"/>
      <c r="M134" s="159"/>
      <c r="N134" s="159" t="s">
        <v>1798</v>
      </c>
      <c r="O134" s="159" t="s">
        <v>1789</v>
      </c>
      <c r="P134" s="159"/>
      <c r="Q134" s="159"/>
      <c r="R134" s="159"/>
      <c r="S134" s="161">
        <v>44592</v>
      </c>
      <c r="T134" s="161">
        <v>44592</v>
      </c>
      <c r="U134" s="159" t="s">
        <v>1502</v>
      </c>
      <c r="V134" s="157">
        <v>100</v>
      </c>
      <c r="W134" s="157">
        <v>14110</v>
      </c>
      <c r="X134" s="162">
        <v>5490.17</v>
      </c>
      <c r="Y134" s="157">
        <v>14116</v>
      </c>
      <c r="Z134" s="162">
        <v>5490.17</v>
      </c>
      <c r="AA134" s="162">
        <v>0</v>
      </c>
      <c r="AB134" s="162">
        <v>0</v>
      </c>
      <c r="AC134" s="157">
        <v>70260</v>
      </c>
      <c r="AD134" s="162">
        <v>0</v>
      </c>
      <c r="AE134" s="157" t="s">
        <v>433</v>
      </c>
      <c r="AF134" s="159"/>
      <c r="AG134" s="159"/>
      <c r="AH134" s="159" t="s">
        <v>2</v>
      </c>
      <c r="AI134" s="159" t="s">
        <v>1785</v>
      </c>
      <c r="AJ134" s="159" t="s">
        <v>1787</v>
      </c>
      <c r="AK134" s="159">
        <v>0</v>
      </c>
      <c r="AL134" s="159" t="s">
        <v>22</v>
      </c>
      <c r="AM134" s="159" t="s">
        <v>22</v>
      </c>
      <c r="AN134" s="275">
        <f t="shared" si="31"/>
        <v>1</v>
      </c>
      <c r="AO134" s="275">
        <f t="shared" si="32"/>
        <v>2022</v>
      </c>
      <c r="AP134" s="276">
        <f t="shared" si="33"/>
        <v>2023</v>
      </c>
      <c r="AQ134" s="277">
        <f t="shared" si="34"/>
        <v>2023.0833333333333</v>
      </c>
      <c r="AR134" s="278">
        <f t="shared" si="35"/>
        <v>457.51416666666665</v>
      </c>
      <c r="AS134" s="279">
        <f t="shared" si="36"/>
        <v>5490.17</v>
      </c>
      <c r="AT134" s="279">
        <f t="shared" si="37"/>
        <v>0</v>
      </c>
      <c r="AU134" s="279">
        <f t="shared" si="38"/>
        <v>5490.17</v>
      </c>
      <c r="AV134" s="279">
        <f t="shared" si="39"/>
        <v>5490.17</v>
      </c>
      <c r="AW134" s="280">
        <f t="shared" si="40"/>
        <v>0</v>
      </c>
      <c r="AX134" s="281" t="s">
        <v>77</v>
      </c>
    </row>
    <row r="135" spans="2:50">
      <c r="B135" s="157">
        <v>2149</v>
      </c>
      <c r="C135" s="158">
        <v>271213</v>
      </c>
      <c r="D135" s="157">
        <v>67079</v>
      </c>
      <c r="E135" s="159" t="s">
        <v>1626</v>
      </c>
      <c r="F135" s="160" t="s">
        <v>1436</v>
      </c>
      <c r="G135" s="160"/>
      <c r="H135" s="160"/>
      <c r="I135" s="157">
        <v>1</v>
      </c>
      <c r="J135" s="159"/>
      <c r="K135" s="157">
        <v>0</v>
      </c>
      <c r="L135" s="159" t="s">
        <v>1435</v>
      </c>
      <c r="M135" s="159"/>
      <c r="N135" s="159" t="s">
        <v>1788</v>
      </c>
      <c r="O135" s="159" t="s">
        <v>1789</v>
      </c>
      <c r="P135" s="159" t="s">
        <v>683</v>
      </c>
      <c r="Q135" s="159"/>
      <c r="R135" s="159"/>
      <c r="S135" s="161">
        <v>44502</v>
      </c>
      <c r="T135" s="161">
        <v>44502</v>
      </c>
      <c r="U135" s="159" t="s">
        <v>1434</v>
      </c>
      <c r="V135" s="157">
        <v>300</v>
      </c>
      <c r="W135" s="157">
        <v>14040</v>
      </c>
      <c r="X135" s="162">
        <v>39600.97</v>
      </c>
      <c r="Y135" s="157">
        <v>14046</v>
      </c>
      <c r="Z135" s="162">
        <v>33000.81</v>
      </c>
      <c r="AA135" s="162">
        <v>6600.1600000000035</v>
      </c>
      <c r="AB135" s="162">
        <v>4400.12</v>
      </c>
      <c r="AC135" s="157">
        <v>51260</v>
      </c>
      <c r="AD135" s="162">
        <v>1100.03</v>
      </c>
      <c r="AE135" s="157" t="s">
        <v>433</v>
      </c>
      <c r="AF135" s="159"/>
      <c r="AG135" s="159"/>
      <c r="AH135" s="159" t="s">
        <v>2</v>
      </c>
      <c r="AI135" s="159" t="s">
        <v>1785</v>
      </c>
      <c r="AJ135" s="159" t="s">
        <v>1787</v>
      </c>
      <c r="AK135" s="159">
        <v>0</v>
      </c>
      <c r="AL135" s="159" t="s">
        <v>1569</v>
      </c>
      <c r="AM135" s="159" t="s">
        <v>1569</v>
      </c>
      <c r="AN135" s="275">
        <f t="shared" si="31"/>
        <v>11</v>
      </c>
      <c r="AO135" s="275">
        <f t="shared" si="32"/>
        <v>2021</v>
      </c>
      <c r="AP135" s="276">
        <f t="shared" si="33"/>
        <v>2024</v>
      </c>
      <c r="AQ135" s="277">
        <f t="shared" si="34"/>
        <v>2024.9166666666667</v>
      </c>
      <c r="AR135" s="278">
        <f t="shared" si="35"/>
        <v>1100.0269444444446</v>
      </c>
      <c r="AS135" s="279">
        <f t="shared" si="36"/>
        <v>13200.323333333334</v>
      </c>
      <c r="AT135" s="279">
        <f t="shared" si="37"/>
        <v>13200.323333333334</v>
      </c>
      <c r="AU135" s="279">
        <f t="shared" si="38"/>
        <v>17600.431111110109</v>
      </c>
      <c r="AV135" s="279">
        <f t="shared" si="39"/>
        <v>30800.754444443442</v>
      </c>
      <c r="AW135" s="280">
        <f t="shared" si="40"/>
        <v>8800.2155555565587</v>
      </c>
      <c r="AX135" s="281" t="s">
        <v>77</v>
      </c>
    </row>
    <row r="136" spans="2:50">
      <c r="B136" s="157">
        <v>2149</v>
      </c>
      <c r="C136" s="158">
        <v>270738</v>
      </c>
      <c r="D136" s="157" t="s">
        <v>433</v>
      </c>
      <c r="E136" s="159" t="s">
        <v>1626</v>
      </c>
      <c r="F136" s="160" t="s">
        <v>1433</v>
      </c>
      <c r="G136" s="160"/>
      <c r="H136" s="160"/>
      <c r="I136" s="157">
        <v>1</v>
      </c>
      <c r="J136" s="159"/>
      <c r="K136" s="157">
        <v>0</v>
      </c>
      <c r="L136" s="159"/>
      <c r="M136" s="159"/>
      <c r="N136" s="159" t="s">
        <v>1801</v>
      </c>
      <c r="O136" s="159" t="s">
        <v>1789</v>
      </c>
      <c r="P136" s="159"/>
      <c r="Q136" s="159"/>
      <c r="R136" s="159"/>
      <c r="S136" s="161">
        <v>44561</v>
      </c>
      <c r="T136" s="161">
        <v>44561</v>
      </c>
      <c r="U136" s="159" t="s">
        <v>1431</v>
      </c>
      <c r="V136" s="157">
        <v>500</v>
      </c>
      <c r="W136" s="157">
        <v>14070</v>
      </c>
      <c r="X136" s="162">
        <v>113.93</v>
      </c>
      <c r="Y136" s="157">
        <v>14076</v>
      </c>
      <c r="Z136" s="162">
        <v>53.18</v>
      </c>
      <c r="AA136" s="162">
        <v>60.750000000000007</v>
      </c>
      <c r="AB136" s="162">
        <v>7.6</v>
      </c>
      <c r="AC136" s="157">
        <v>51260</v>
      </c>
      <c r="AD136" s="162">
        <v>1.9</v>
      </c>
      <c r="AE136" s="157" t="s">
        <v>433</v>
      </c>
      <c r="AF136" s="159"/>
      <c r="AG136" s="159"/>
      <c r="AH136" s="159" t="s">
        <v>2</v>
      </c>
      <c r="AI136" s="159" t="s">
        <v>1785</v>
      </c>
      <c r="AJ136" s="159" t="s">
        <v>1787</v>
      </c>
      <c r="AK136" s="159">
        <v>0</v>
      </c>
      <c r="AL136" s="159" t="s">
        <v>22</v>
      </c>
      <c r="AM136" s="159" t="s">
        <v>22</v>
      </c>
      <c r="AN136" s="275">
        <f t="shared" si="31"/>
        <v>12</v>
      </c>
      <c r="AO136" s="275">
        <f t="shared" si="32"/>
        <v>2021</v>
      </c>
      <c r="AP136" s="276">
        <f t="shared" si="33"/>
        <v>2026</v>
      </c>
      <c r="AQ136" s="277">
        <f t="shared" si="34"/>
        <v>2027</v>
      </c>
      <c r="AR136" s="278">
        <f t="shared" si="35"/>
        <v>1.8988333333333334</v>
      </c>
      <c r="AS136" s="279">
        <f t="shared" si="36"/>
        <v>22.786000000000001</v>
      </c>
      <c r="AT136" s="279">
        <f t="shared" si="37"/>
        <v>22.786000000000001</v>
      </c>
      <c r="AU136" s="279">
        <f t="shared" si="38"/>
        <v>28.482500000000002</v>
      </c>
      <c r="AV136" s="279">
        <f t="shared" si="39"/>
        <v>51.268500000000003</v>
      </c>
      <c r="AW136" s="280">
        <f t="shared" si="40"/>
        <v>62.661500000000004</v>
      </c>
      <c r="AX136" s="281" t="s">
        <v>77</v>
      </c>
    </row>
    <row r="137" spans="2:50">
      <c r="B137" s="157">
        <v>2149</v>
      </c>
      <c r="C137" s="158">
        <v>270622</v>
      </c>
      <c r="D137" s="157" t="s">
        <v>433</v>
      </c>
      <c r="E137" s="159" t="s">
        <v>1626</v>
      </c>
      <c r="F137" s="160" t="s">
        <v>1432</v>
      </c>
      <c r="G137" s="160"/>
      <c r="H137" s="160"/>
      <c r="I137" s="157">
        <v>24</v>
      </c>
      <c r="J137" s="159"/>
      <c r="K137" s="157">
        <v>0</v>
      </c>
      <c r="L137" s="159"/>
      <c r="M137" s="159"/>
      <c r="N137" s="159" t="s">
        <v>1801</v>
      </c>
      <c r="O137" s="159" t="s">
        <v>1789</v>
      </c>
      <c r="P137" s="159"/>
      <c r="Q137" s="159"/>
      <c r="R137" s="159"/>
      <c r="S137" s="161">
        <v>44561</v>
      </c>
      <c r="T137" s="161">
        <v>44561</v>
      </c>
      <c r="U137" s="159" t="s">
        <v>1431</v>
      </c>
      <c r="V137" s="157">
        <v>500</v>
      </c>
      <c r="W137" s="157">
        <v>14070</v>
      </c>
      <c r="X137" s="162">
        <v>10173.34</v>
      </c>
      <c r="Y137" s="157">
        <v>14076</v>
      </c>
      <c r="Z137" s="162">
        <v>4747.58</v>
      </c>
      <c r="AA137" s="162">
        <v>5425.76</v>
      </c>
      <c r="AB137" s="162">
        <v>678.24</v>
      </c>
      <c r="AC137" s="157">
        <v>51260</v>
      </c>
      <c r="AD137" s="162">
        <v>169.56</v>
      </c>
      <c r="AE137" s="157" t="s">
        <v>433</v>
      </c>
      <c r="AF137" s="159"/>
      <c r="AG137" s="159"/>
      <c r="AH137" s="159" t="s">
        <v>2</v>
      </c>
      <c r="AI137" s="159" t="s">
        <v>1785</v>
      </c>
      <c r="AJ137" s="159" t="s">
        <v>1787</v>
      </c>
      <c r="AK137" s="159">
        <v>0</v>
      </c>
      <c r="AL137" s="159" t="s">
        <v>22</v>
      </c>
      <c r="AM137" s="159" t="s">
        <v>22</v>
      </c>
      <c r="AN137" s="275">
        <f t="shared" si="31"/>
        <v>12</v>
      </c>
      <c r="AO137" s="275">
        <f t="shared" si="32"/>
        <v>2021</v>
      </c>
      <c r="AP137" s="276">
        <f t="shared" si="33"/>
        <v>2026</v>
      </c>
      <c r="AQ137" s="277">
        <f t="shared" si="34"/>
        <v>2027</v>
      </c>
      <c r="AR137" s="278">
        <f t="shared" si="35"/>
        <v>169.55566666666667</v>
      </c>
      <c r="AS137" s="279">
        <f t="shared" si="36"/>
        <v>2034.6680000000001</v>
      </c>
      <c r="AT137" s="279">
        <f t="shared" si="37"/>
        <v>2034.6680000000001</v>
      </c>
      <c r="AU137" s="279">
        <f t="shared" si="38"/>
        <v>2543.335</v>
      </c>
      <c r="AV137" s="279">
        <f t="shared" si="39"/>
        <v>4578.0030000000006</v>
      </c>
      <c r="AW137" s="280">
        <f t="shared" si="40"/>
        <v>5595.3369999999995</v>
      </c>
      <c r="AX137" s="281" t="s">
        <v>77</v>
      </c>
    </row>
    <row r="138" spans="2:50">
      <c r="B138" s="157">
        <v>2149</v>
      </c>
      <c r="C138" s="158">
        <v>260752</v>
      </c>
      <c r="D138" s="157" t="s">
        <v>433</v>
      </c>
      <c r="E138" s="159" t="s">
        <v>1626</v>
      </c>
      <c r="F138" s="160" t="s">
        <v>1430</v>
      </c>
      <c r="G138" s="160"/>
      <c r="H138" s="160"/>
      <c r="I138" s="157">
        <v>12</v>
      </c>
      <c r="J138" s="159"/>
      <c r="K138" s="157">
        <v>0</v>
      </c>
      <c r="L138" s="159" t="s">
        <v>1241</v>
      </c>
      <c r="M138" s="159"/>
      <c r="N138" s="159" t="s">
        <v>646</v>
      </c>
      <c r="O138" s="159" t="s">
        <v>1789</v>
      </c>
      <c r="P138" s="159"/>
      <c r="Q138" s="159" t="s">
        <v>1818</v>
      </c>
      <c r="R138" s="159" t="s">
        <v>1791</v>
      </c>
      <c r="S138" s="161">
        <v>44467</v>
      </c>
      <c r="T138" s="161">
        <v>44467</v>
      </c>
      <c r="U138" s="159" t="s">
        <v>1399</v>
      </c>
      <c r="V138" s="157">
        <v>1200</v>
      </c>
      <c r="W138" s="157">
        <v>14050</v>
      </c>
      <c r="X138" s="162">
        <v>7380</v>
      </c>
      <c r="Y138" s="157">
        <v>14056</v>
      </c>
      <c r="Z138" s="162">
        <v>1588.75</v>
      </c>
      <c r="AA138" s="162">
        <v>5791.25</v>
      </c>
      <c r="AB138" s="162">
        <v>205</v>
      </c>
      <c r="AC138" s="157">
        <v>54260</v>
      </c>
      <c r="AD138" s="162">
        <v>51.25</v>
      </c>
      <c r="AE138" s="157" t="s">
        <v>433</v>
      </c>
      <c r="AF138" s="159"/>
      <c r="AG138" s="159"/>
      <c r="AH138" s="159" t="s">
        <v>2</v>
      </c>
      <c r="AI138" s="159" t="s">
        <v>1785</v>
      </c>
      <c r="AJ138" s="159" t="s">
        <v>1787</v>
      </c>
      <c r="AK138" s="159">
        <v>0</v>
      </c>
      <c r="AL138" s="159" t="s">
        <v>16</v>
      </c>
      <c r="AM138" s="159" t="s">
        <v>16</v>
      </c>
      <c r="AN138" s="275">
        <f t="shared" si="31"/>
        <v>9</v>
      </c>
      <c r="AO138" s="275">
        <f t="shared" si="32"/>
        <v>2021</v>
      </c>
      <c r="AP138" s="276">
        <f t="shared" si="33"/>
        <v>2033</v>
      </c>
      <c r="AQ138" s="277">
        <f t="shared" si="34"/>
        <v>2033.75</v>
      </c>
      <c r="AR138" s="278">
        <f t="shared" si="35"/>
        <v>51.25</v>
      </c>
      <c r="AS138" s="279">
        <f t="shared" si="36"/>
        <v>615</v>
      </c>
      <c r="AT138" s="279">
        <f t="shared" si="37"/>
        <v>615</v>
      </c>
      <c r="AU138" s="279">
        <f t="shared" si="38"/>
        <v>922.5</v>
      </c>
      <c r="AV138" s="279">
        <f t="shared" si="39"/>
        <v>1537.5</v>
      </c>
      <c r="AW138" s="280">
        <f t="shared" si="40"/>
        <v>5842.5</v>
      </c>
      <c r="AX138" s="281" t="s">
        <v>77</v>
      </c>
    </row>
    <row r="139" spans="2:50">
      <c r="B139" s="157">
        <v>2149</v>
      </c>
      <c r="C139" s="158">
        <v>260306</v>
      </c>
      <c r="D139" s="157" t="s">
        <v>433</v>
      </c>
      <c r="E139" s="159" t="s">
        <v>1626</v>
      </c>
      <c r="F139" s="160" t="s">
        <v>1429</v>
      </c>
      <c r="G139" s="160"/>
      <c r="H139" s="160"/>
      <c r="I139" s="157">
        <v>100</v>
      </c>
      <c r="J139" s="159"/>
      <c r="K139" s="157">
        <v>0</v>
      </c>
      <c r="L139" s="159" t="s">
        <v>1199</v>
      </c>
      <c r="M139" s="159"/>
      <c r="N139" s="159" t="s">
        <v>646</v>
      </c>
      <c r="O139" s="159" t="s">
        <v>1789</v>
      </c>
      <c r="P139" s="159"/>
      <c r="Q139" s="159"/>
      <c r="R139" s="159"/>
      <c r="S139" s="161">
        <v>44436</v>
      </c>
      <c r="T139" s="161">
        <v>44436</v>
      </c>
      <c r="U139" s="159" t="s">
        <v>1428</v>
      </c>
      <c r="V139" s="157">
        <v>700</v>
      </c>
      <c r="W139" s="157">
        <v>14050</v>
      </c>
      <c r="X139" s="162">
        <v>8126.44</v>
      </c>
      <c r="Y139" s="157">
        <v>14056</v>
      </c>
      <c r="Z139" s="162">
        <v>3095.77</v>
      </c>
      <c r="AA139" s="162">
        <v>5030.67</v>
      </c>
      <c r="AB139" s="162">
        <v>386.96</v>
      </c>
      <c r="AC139" s="157">
        <v>54260</v>
      </c>
      <c r="AD139" s="162">
        <v>96.74</v>
      </c>
      <c r="AE139" s="157" t="s">
        <v>433</v>
      </c>
      <c r="AF139" s="159"/>
      <c r="AG139" s="159"/>
      <c r="AH139" s="159" t="s">
        <v>2</v>
      </c>
      <c r="AI139" s="159" t="s">
        <v>1785</v>
      </c>
      <c r="AJ139" s="159" t="s">
        <v>1787</v>
      </c>
      <c r="AK139" s="159">
        <v>0</v>
      </c>
      <c r="AL139" s="159" t="s">
        <v>573</v>
      </c>
      <c r="AM139" s="159" t="s">
        <v>573</v>
      </c>
      <c r="AN139" s="275">
        <f t="shared" si="31"/>
        <v>8</v>
      </c>
      <c r="AO139" s="275">
        <f t="shared" si="32"/>
        <v>2021</v>
      </c>
      <c r="AP139" s="276">
        <f t="shared" si="33"/>
        <v>2028</v>
      </c>
      <c r="AQ139" s="277">
        <f t="shared" si="34"/>
        <v>2028.6666666666667</v>
      </c>
      <c r="AR139" s="278">
        <f t="shared" si="35"/>
        <v>96.743333333333325</v>
      </c>
      <c r="AS139" s="279">
        <f t="shared" si="36"/>
        <v>1160.9199999999998</v>
      </c>
      <c r="AT139" s="279">
        <f t="shared" si="37"/>
        <v>1160.9199999999998</v>
      </c>
      <c r="AU139" s="279">
        <f t="shared" si="38"/>
        <v>1838.1233333332457</v>
      </c>
      <c r="AV139" s="279">
        <f t="shared" si="39"/>
        <v>2999.0433333332458</v>
      </c>
      <c r="AW139" s="280">
        <f t="shared" si="40"/>
        <v>5127.3966666667538</v>
      </c>
      <c r="AX139" s="281" t="s">
        <v>77</v>
      </c>
    </row>
    <row r="140" spans="2:50">
      <c r="B140" s="157">
        <v>2149</v>
      </c>
      <c r="C140" s="158">
        <v>259970</v>
      </c>
      <c r="D140" s="157" t="s">
        <v>433</v>
      </c>
      <c r="E140" s="159" t="s">
        <v>1626</v>
      </c>
      <c r="F140" s="160" t="s">
        <v>1402</v>
      </c>
      <c r="G140" s="160"/>
      <c r="H140" s="160"/>
      <c r="I140" s="157">
        <v>600</v>
      </c>
      <c r="J140" s="159"/>
      <c r="K140" s="157">
        <v>0</v>
      </c>
      <c r="L140" s="159" t="s">
        <v>1368</v>
      </c>
      <c r="M140" s="159"/>
      <c r="N140" s="159" t="s">
        <v>646</v>
      </c>
      <c r="O140" s="159" t="s">
        <v>1789</v>
      </c>
      <c r="P140" s="159"/>
      <c r="Q140" s="159"/>
      <c r="R140" s="159"/>
      <c r="S140" s="161">
        <v>44439</v>
      </c>
      <c r="T140" s="161">
        <v>44439</v>
      </c>
      <c r="U140" s="159" t="s">
        <v>1425</v>
      </c>
      <c r="V140" s="157">
        <v>700</v>
      </c>
      <c r="W140" s="157">
        <v>14050</v>
      </c>
      <c r="X140" s="162">
        <v>37198.15</v>
      </c>
      <c r="Y140" s="157">
        <v>14056</v>
      </c>
      <c r="Z140" s="162">
        <v>14170.74</v>
      </c>
      <c r="AA140" s="162">
        <v>23027.410000000003</v>
      </c>
      <c r="AB140" s="162">
        <v>1771.36</v>
      </c>
      <c r="AC140" s="157">
        <v>54260</v>
      </c>
      <c r="AD140" s="162">
        <v>442.84</v>
      </c>
      <c r="AE140" s="157" t="s">
        <v>433</v>
      </c>
      <c r="AF140" s="159"/>
      <c r="AG140" s="159"/>
      <c r="AH140" s="159" t="s">
        <v>2</v>
      </c>
      <c r="AI140" s="159" t="s">
        <v>1785</v>
      </c>
      <c r="AJ140" s="159" t="s">
        <v>1787</v>
      </c>
      <c r="AK140" s="159">
        <v>0</v>
      </c>
      <c r="AL140" s="159" t="s">
        <v>18</v>
      </c>
      <c r="AM140" s="159" t="s">
        <v>18</v>
      </c>
      <c r="AN140" s="275">
        <f t="shared" si="31"/>
        <v>8</v>
      </c>
      <c r="AO140" s="275">
        <f t="shared" si="32"/>
        <v>2021</v>
      </c>
      <c r="AP140" s="276">
        <f t="shared" si="33"/>
        <v>2028</v>
      </c>
      <c r="AQ140" s="277">
        <f t="shared" si="34"/>
        <v>2028.6666666666667</v>
      </c>
      <c r="AR140" s="278">
        <f t="shared" si="35"/>
        <v>442.83511904761912</v>
      </c>
      <c r="AS140" s="279">
        <f t="shared" si="36"/>
        <v>5314.0214285714292</v>
      </c>
      <c r="AT140" s="279">
        <f t="shared" si="37"/>
        <v>5314.0214285714292</v>
      </c>
      <c r="AU140" s="279">
        <f t="shared" si="38"/>
        <v>8413.8672619043573</v>
      </c>
      <c r="AV140" s="279">
        <f t="shared" si="39"/>
        <v>13727.888690475786</v>
      </c>
      <c r="AW140" s="280">
        <f t="shared" si="40"/>
        <v>23470.261309524216</v>
      </c>
      <c r="AX140" s="281" t="s">
        <v>77</v>
      </c>
    </row>
    <row r="141" spans="2:50">
      <c r="B141" s="157">
        <v>2149</v>
      </c>
      <c r="C141" s="158">
        <v>259969</v>
      </c>
      <c r="D141" s="157" t="s">
        <v>433</v>
      </c>
      <c r="E141" s="159" t="s">
        <v>1626</v>
      </c>
      <c r="F141" s="160" t="s">
        <v>1427</v>
      </c>
      <c r="G141" s="160"/>
      <c r="H141" s="160"/>
      <c r="I141" s="157">
        <v>400</v>
      </c>
      <c r="J141" s="159"/>
      <c r="K141" s="157">
        <v>0</v>
      </c>
      <c r="L141" s="159" t="s">
        <v>1368</v>
      </c>
      <c r="M141" s="159"/>
      <c r="N141" s="159" t="s">
        <v>646</v>
      </c>
      <c r="O141" s="159" t="s">
        <v>1789</v>
      </c>
      <c r="P141" s="159"/>
      <c r="Q141" s="159"/>
      <c r="R141" s="159"/>
      <c r="S141" s="161">
        <v>44439</v>
      </c>
      <c r="T141" s="161">
        <v>44439</v>
      </c>
      <c r="U141" s="159" t="s">
        <v>1425</v>
      </c>
      <c r="V141" s="157">
        <v>700</v>
      </c>
      <c r="W141" s="157">
        <v>14050</v>
      </c>
      <c r="X141" s="162">
        <v>24798.76</v>
      </c>
      <c r="Y141" s="157">
        <v>14056</v>
      </c>
      <c r="Z141" s="162">
        <v>9447.1200000000008</v>
      </c>
      <c r="AA141" s="162">
        <v>15351.639999999998</v>
      </c>
      <c r="AB141" s="162">
        <v>1180.8800000000001</v>
      </c>
      <c r="AC141" s="157">
        <v>54260</v>
      </c>
      <c r="AD141" s="162">
        <v>295.22000000000003</v>
      </c>
      <c r="AE141" s="157" t="s">
        <v>433</v>
      </c>
      <c r="AF141" s="159"/>
      <c r="AG141" s="159"/>
      <c r="AH141" s="159" t="s">
        <v>2</v>
      </c>
      <c r="AI141" s="159" t="s">
        <v>1785</v>
      </c>
      <c r="AJ141" s="159" t="s">
        <v>1787</v>
      </c>
      <c r="AK141" s="159">
        <v>0</v>
      </c>
      <c r="AL141" s="159" t="s">
        <v>573</v>
      </c>
      <c r="AM141" s="159" t="s">
        <v>573</v>
      </c>
      <c r="AN141" s="275">
        <f t="shared" si="31"/>
        <v>8</v>
      </c>
      <c r="AO141" s="275">
        <f t="shared" si="32"/>
        <v>2021</v>
      </c>
      <c r="AP141" s="276">
        <f t="shared" si="33"/>
        <v>2028</v>
      </c>
      <c r="AQ141" s="277">
        <f t="shared" si="34"/>
        <v>2028.6666666666667</v>
      </c>
      <c r="AR141" s="278">
        <f t="shared" si="35"/>
        <v>295.2233333333333</v>
      </c>
      <c r="AS141" s="279">
        <f t="shared" si="36"/>
        <v>3542.6799999999994</v>
      </c>
      <c r="AT141" s="279">
        <f t="shared" si="37"/>
        <v>3542.6799999999994</v>
      </c>
      <c r="AU141" s="279">
        <f t="shared" si="38"/>
        <v>5609.2433333330664</v>
      </c>
      <c r="AV141" s="279">
        <f t="shared" si="39"/>
        <v>9151.9233333330667</v>
      </c>
      <c r="AW141" s="280">
        <f t="shared" si="40"/>
        <v>15646.836666666932</v>
      </c>
      <c r="AX141" s="281" t="s">
        <v>77</v>
      </c>
    </row>
    <row r="142" spans="2:50">
      <c r="B142" s="157">
        <v>2149</v>
      </c>
      <c r="C142" s="158">
        <v>259968</v>
      </c>
      <c r="D142" s="157" t="s">
        <v>433</v>
      </c>
      <c r="E142" s="159" t="s">
        <v>1626</v>
      </c>
      <c r="F142" s="160" t="s">
        <v>1426</v>
      </c>
      <c r="G142" s="160"/>
      <c r="H142" s="160"/>
      <c r="I142" s="157">
        <v>224</v>
      </c>
      <c r="J142" s="159"/>
      <c r="K142" s="157">
        <v>0</v>
      </c>
      <c r="L142" s="159" t="s">
        <v>1368</v>
      </c>
      <c r="M142" s="159"/>
      <c r="N142" s="159" t="s">
        <v>646</v>
      </c>
      <c r="O142" s="159" t="s">
        <v>1789</v>
      </c>
      <c r="P142" s="159"/>
      <c r="Q142" s="159"/>
      <c r="R142" s="159"/>
      <c r="S142" s="161">
        <v>44439</v>
      </c>
      <c r="T142" s="161">
        <v>44439</v>
      </c>
      <c r="U142" s="159" t="s">
        <v>1425</v>
      </c>
      <c r="V142" s="157">
        <v>700</v>
      </c>
      <c r="W142" s="157">
        <v>14050</v>
      </c>
      <c r="X142" s="162">
        <v>12353.72</v>
      </c>
      <c r="Y142" s="157">
        <v>14056</v>
      </c>
      <c r="Z142" s="162">
        <v>4706.1899999999996</v>
      </c>
      <c r="AA142" s="162">
        <v>7647.53</v>
      </c>
      <c r="AB142" s="162">
        <v>588.28</v>
      </c>
      <c r="AC142" s="157">
        <v>54260</v>
      </c>
      <c r="AD142" s="162">
        <v>147.07</v>
      </c>
      <c r="AE142" s="157" t="s">
        <v>433</v>
      </c>
      <c r="AF142" s="159"/>
      <c r="AG142" s="159"/>
      <c r="AH142" s="159" t="s">
        <v>2</v>
      </c>
      <c r="AI142" s="159" t="s">
        <v>1785</v>
      </c>
      <c r="AJ142" s="159" t="s">
        <v>1787</v>
      </c>
      <c r="AK142" s="159">
        <v>0</v>
      </c>
      <c r="AL142" s="159" t="s">
        <v>573</v>
      </c>
      <c r="AM142" s="159" t="s">
        <v>573</v>
      </c>
      <c r="AN142" s="275">
        <f t="shared" si="31"/>
        <v>8</v>
      </c>
      <c r="AO142" s="275">
        <f t="shared" si="32"/>
        <v>2021</v>
      </c>
      <c r="AP142" s="276">
        <f t="shared" si="33"/>
        <v>2028</v>
      </c>
      <c r="AQ142" s="277">
        <f t="shared" si="34"/>
        <v>2028.6666666666667</v>
      </c>
      <c r="AR142" s="278">
        <f t="shared" si="35"/>
        <v>147.06809523809522</v>
      </c>
      <c r="AS142" s="279">
        <f t="shared" si="36"/>
        <v>1764.8171428571427</v>
      </c>
      <c r="AT142" s="279">
        <f t="shared" si="37"/>
        <v>1764.8171428571427</v>
      </c>
      <c r="AU142" s="279">
        <f t="shared" si="38"/>
        <v>2794.2938095236768</v>
      </c>
      <c r="AV142" s="279">
        <f t="shared" si="39"/>
        <v>4559.1109523808191</v>
      </c>
      <c r="AW142" s="280">
        <f t="shared" si="40"/>
        <v>7794.6090476191803</v>
      </c>
      <c r="AX142" s="281" t="s">
        <v>77</v>
      </c>
    </row>
    <row r="143" spans="2:50">
      <c r="B143" s="157">
        <v>2149</v>
      </c>
      <c r="C143" s="158">
        <v>259343</v>
      </c>
      <c r="D143" s="157">
        <v>257717</v>
      </c>
      <c r="E143" s="159" t="s">
        <v>1626</v>
      </c>
      <c r="F143" s="160" t="s">
        <v>1424</v>
      </c>
      <c r="G143" s="160"/>
      <c r="H143" s="160"/>
      <c r="I143" s="157">
        <v>1</v>
      </c>
      <c r="J143" s="159"/>
      <c r="K143" s="157">
        <v>0</v>
      </c>
      <c r="L143" s="159" t="s">
        <v>1421</v>
      </c>
      <c r="M143" s="159"/>
      <c r="N143" s="159" t="s">
        <v>1788</v>
      </c>
      <c r="O143" s="159" t="s">
        <v>1789</v>
      </c>
      <c r="P143" s="159" t="s">
        <v>683</v>
      </c>
      <c r="Q143" s="159"/>
      <c r="R143" s="159"/>
      <c r="S143" s="161">
        <v>44418</v>
      </c>
      <c r="T143" s="161">
        <v>44418</v>
      </c>
      <c r="U143" s="159" t="s">
        <v>1423</v>
      </c>
      <c r="V143" s="157">
        <v>1000</v>
      </c>
      <c r="W143" s="157">
        <v>14040</v>
      </c>
      <c r="X143" s="162">
        <v>417.67</v>
      </c>
      <c r="Y143" s="157">
        <v>14046</v>
      </c>
      <c r="Z143" s="162">
        <v>114.84</v>
      </c>
      <c r="AA143" s="162">
        <v>302.83000000000004</v>
      </c>
      <c r="AB143" s="162">
        <v>13.92</v>
      </c>
      <c r="AC143" s="157">
        <v>51260</v>
      </c>
      <c r="AD143" s="162">
        <v>3.48</v>
      </c>
      <c r="AE143" s="157" t="s">
        <v>433</v>
      </c>
      <c r="AF143" s="159"/>
      <c r="AG143" s="159"/>
      <c r="AH143" s="159" t="s">
        <v>2</v>
      </c>
      <c r="AI143" s="159" t="s">
        <v>1785</v>
      </c>
      <c r="AJ143" s="159" t="s">
        <v>1787</v>
      </c>
      <c r="AK143" s="159">
        <v>0</v>
      </c>
      <c r="AL143" s="159" t="s">
        <v>450</v>
      </c>
      <c r="AM143" s="159" t="s">
        <v>450</v>
      </c>
      <c r="AN143" s="275">
        <f t="shared" si="31"/>
        <v>8</v>
      </c>
      <c r="AO143" s="275">
        <f t="shared" si="32"/>
        <v>2021</v>
      </c>
      <c r="AP143" s="276">
        <f t="shared" si="33"/>
        <v>2031</v>
      </c>
      <c r="AQ143" s="277">
        <f t="shared" si="34"/>
        <v>2031.6666666666667</v>
      </c>
      <c r="AR143" s="278">
        <f t="shared" si="35"/>
        <v>3.4805833333333336</v>
      </c>
      <c r="AS143" s="279">
        <f t="shared" si="36"/>
        <v>41.767000000000003</v>
      </c>
      <c r="AT143" s="279">
        <f t="shared" si="37"/>
        <v>41.767000000000003</v>
      </c>
      <c r="AU143" s="279">
        <f t="shared" si="38"/>
        <v>66.131083333330139</v>
      </c>
      <c r="AV143" s="279">
        <f t="shared" si="39"/>
        <v>107.89808333333013</v>
      </c>
      <c r="AW143" s="280">
        <f t="shared" si="40"/>
        <v>309.77191666666988</v>
      </c>
      <c r="AX143" s="281" t="s">
        <v>77</v>
      </c>
    </row>
    <row r="144" spans="2:50">
      <c r="B144" s="157">
        <v>2149</v>
      </c>
      <c r="C144" s="158">
        <v>259330</v>
      </c>
      <c r="D144" s="157">
        <v>255408</v>
      </c>
      <c r="E144" s="159" t="s">
        <v>1626</v>
      </c>
      <c r="F144" s="160" t="s">
        <v>1422</v>
      </c>
      <c r="G144" s="160"/>
      <c r="H144" s="160"/>
      <c r="I144" s="157">
        <v>1</v>
      </c>
      <c r="J144" s="159"/>
      <c r="K144" s="157">
        <v>0</v>
      </c>
      <c r="L144" s="159" t="s">
        <v>1421</v>
      </c>
      <c r="M144" s="159"/>
      <c r="N144" s="159" t="s">
        <v>1788</v>
      </c>
      <c r="O144" s="159" t="s">
        <v>1789</v>
      </c>
      <c r="P144" s="159" t="s">
        <v>683</v>
      </c>
      <c r="Q144" s="159"/>
      <c r="R144" s="159"/>
      <c r="S144" s="161">
        <v>44418</v>
      </c>
      <c r="T144" s="161">
        <v>44418</v>
      </c>
      <c r="U144" s="159" t="s">
        <v>1420</v>
      </c>
      <c r="V144" s="157">
        <v>1000</v>
      </c>
      <c r="W144" s="157">
        <v>14040</v>
      </c>
      <c r="X144" s="162">
        <v>1025.7</v>
      </c>
      <c r="Y144" s="157">
        <v>14046</v>
      </c>
      <c r="Z144" s="162">
        <v>282.08</v>
      </c>
      <c r="AA144" s="162">
        <v>743.62000000000012</v>
      </c>
      <c r="AB144" s="162">
        <v>34.200000000000003</v>
      </c>
      <c r="AC144" s="157">
        <v>51260</v>
      </c>
      <c r="AD144" s="162">
        <v>8.5500000000000007</v>
      </c>
      <c r="AE144" s="157" t="s">
        <v>433</v>
      </c>
      <c r="AF144" s="159"/>
      <c r="AG144" s="159"/>
      <c r="AH144" s="159" t="s">
        <v>2</v>
      </c>
      <c r="AI144" s="159" t="s">
        <v>1785</v>
      </c>
      <c r="AJ144" s="159" t="s">
        <v>1787</v>
      </c>
      <c r="AK144" s="159">
        <v>0</v>
      </c>
      <c r="AL144" s="159" t="s">
        <v>1567</v>
      </c>
      <c r="AM144" s="159" t="s">
        <v>1567</v>
      </c>
      <c r="AN144" s="275">
        <f t="shared" si="31"/>
        <v>8</v>
      </c>
      <c r="AO144" s="275">
        <f t="shared" si="32"/>
        <v>2021</v>
      </c>
      <c r="AP144" s="276">
        <f t="shared" si="33"/>
        <v>2031</v>
      </c>
      <c r="AQ144" s="277">
        <f t="shared" si="34"/>
        <v>2031.6666666666667</v>
      </c>
      <c r="AR144" s="278">
        <f t="shared" si="35"/>
        <v>8.5475000000000012</v>
      </c>
      <c r="AS144" s="279">
        <f t="shared" si="36"/>
        <v>102.57000000000002</v>
      </c>
      <c r="AT144" s="279">
        <f t="shared" si="37"/>
        <v>102.57000000000002</v>
      </c>
      <c r="AU144" s="279">
        <f t="shared" si="38"/>
        <v>162.40249999999219</v>
      </c>
      <c r="AV144" s="279">
        <f t="shared" si="39"/>
        <v>264.97249999999224</v>
      </c>
      <c r="AW144" s="280">
        <f t="shared" si="40"/>
        <v>760.72750000000781</v>
      </c>
      <c r="AX144" s="281" t="s">
        <v>77</v>
      </c>
    </row>
    <row r="145" spans="2:50">
      <c r="B145" s="157">
        <v>2149</v>
      </c>
      <c r="C145" s="158">
        <v>257717</v>
      </c>
      <c r="D145" s="157" t="s">
        <v>433</v>
      </c>
      <c r="E145" s="159" t="s">
        <v>1626</v>
      </c>
      <c r="F145" s="160" t="s">
        <v>1419</v>
      </c>
      <c r="G145" s="160"/>
      <c r="H145" s="160"/>
      <c r="I145" s="157">
        <v>1</v>
      </c>
      <c r="J145" s="159" t="s">
        <v>1418</v>
      </c>
      <c r="K145" s="157">
        <v>2022</v>
      </c>
      <c r="L145" s="159" t="s">
        <v>1146</v>
      </c>
      <c r="M145" s="159" t="s">
        <v>854</v>
      </c>
      <c r="N145" s="159" t="s">
        <v>1788</v>
      </c>
      <c r="O145" s="159" t="s">
        <v>1789</v>
      </c>
      <c r="P145" s="159" t="s">
        <v>1814</v>
      </c>
      <c r="Q145" s="159"/>
      <c r="R145" s="159"/>
      <c r="S145" s="161">
        <v>44439</v>
      </c>
      <c r="T145" s="161">
        <v>44439</v>
      </c>
      <c r="U145" s="159" t="s">
        <v>1417</v>
      </c>
      <c r="V145" s="157">
        <v>1000</v>
      </c>
      <c r="W145" s="157">
        <v>14040</v>
      </c>
      <c r="X145" s="162">
        <v>393570.72</v>
      </c>
      <c r="Y145" s="157">
        <v>14046</v>
      </c>
      <c r="Z145" s="162">
        <v>104952.2</v>
      </c>
      <c r="AA145" s="162">
        <v>288618.51999999996</v>
      </c>
      <c r="AB145" s="162">
        <v>13119.04</v>
      </c>
      <c r="AC145" s="157">
        <v>51260</v>
      </c>
      <c r="AD145" s="162">
        <v>3279.76</v>
      </c>
      <c r="AE145" s="157" t="s">
        <v>433</v>
      </c>
      <c r="AF145" s="159"/>
      <c r="AG145" s="159">
        <v>49</v>
      </c>
      <c r="AH145" s="159" t="s">
        <v>2</v>
      </c>
      <c r="AI145" s="159" t="s">
        <v>1785</v>
      </c>
      <c r="AJ145" s="159" t="s">
        <v>1787</v>
      </c>
      <c r="AK145" s="159">
        <v>0</v>
      </c>
      <c r="AL145" s="159" t="s">
        <v>450</v>
      </c>
      <c r="AM145" s="159" t="s">
        <v>450</v>
      </c>
      <c r="AN145" s="275">
        <f t="shared" ref="AN145:AN167" si="41">MONTH($S145)</f>
        <v>8</v>
      </c>
      <c r="AO145" s="275">
        <f t="shared" ref="AO145:AO167" si="42">YEAR($S145)</f>
        <v>2021</v>
      </c>
      <c r="AP145" s="276">
        <f t="shared" ref="AP145:AP167" si="43">$AO145+($V145/100)</f>
        <v>2031</v>
      </c>
      <c r="AQ145" s="277">
        <f t="shared" ref="AQ145:AQ167" si="44">$AP145+($AN145/12)</f>
        <v>2031.6666666666667</v>
      </c>
      <c r="AR145" s="278">
        <f t="shared" ref="AR145:AR167" si="45">IFERROR($X145/($V145/100)/12,0)</f>
        <v>3279.7559999999999</v>
      </c>
      <c r="AS145" s="279">
        <f t="shared" ref="AS145:AS167" si="46">$AR145*12</f>
        <v>39357.072</v>
      </c>
      <c r="AT145" s="279">
        <f t="shared" ref="AT145:AT167" si="47">IF(AQ145&lt;$AK$12,0,AS145)</f>
        <v>39357.072</v>
      </c>
      <c r="AU145" s="279">
        <f t="shared" ref="AU145:AU167" si="48">IF(AQ145&lt;=$AK$13,X145,IF((AO145+(AN145/12))&gt;=$AK$13,0,((X145-((AQ145-$AK$13)*12)*AR145))))</f>
        <v>62315.363999996975</v>
      </c>
      <c r="AV145" s="279">
        <f t="shared" ref="AV145:AV167" si="49">IF(AQ145&lt;$AK$12,X145,AT145+AU145)</f>
        <v>101672.43599999697</v>
      </c>
      <c r="AW145" s="280">
        <f t="shared" ref="AW145:AW167" si="50">+X145-AV145</f>
        <v>291898.28400000301</v>
      </c>
      <c r="AX145" s="281" t="s">
        <v>77</v>
      </c>
    </row>
    <row r="146" spans="2:50">
      <c r="B146" s="157">
        <v>2149</v>
      </c>
      <c r="C146" s="158">
        <v>257137</v>
      </c>
      <c r="D146" s="157" t="s">
        <v>433</v>
      </c>
      <c r="E146" s="159" t="s">
        <v>1626</v>
      </c>
      <c r="F146" s="160" t="s">
        <v>1416</v>
      </c>
      <c r="G146" s="160"/>
      <c r="H146" s="160"/>
      <c r="I146" s="157">
        <v>9</v>
      </c>
      <c r="J146" s="159"/>
      <c r="K146" s="157">
        <v>0</v>
      </c>
      <c r="L146" s="159" t="s">
        <v>784</v>
      </c>
      <c r="M146" s="159"/>
      <c r="N146" s="159" t="s">
        <v>646</v>
      </c>
      <c r="O146" s="159" t="s">
        <v>1789</v>
      </c>
      <c r="P146" s="159"/>
      <c r="Q146" s="159" t="s">
        <v>1792</v>
      </c>
      <c r="R146" s="159" t="s">
        <v>1791</v>
      </c>
      <c r="S146" s="161">
        <v>37026</v>
      </c>
      <c r="T146" s="161">
        <v>37026</v>
      </c>
      <c r="U146" s="159" t="s">
        <v>1415</v>
      </c>
      <c r="V146" s="157">
        <v>1200</v>
      </c>
      <c r="W146" s="157">
        <v>14050</v>
      </c>
      <c r="X146" s="162">
        <v>3405.6</v>
      </c>
      <c r="Y146" s="157">
        <v>14056</v>
      </c>
      <c r="Z146" s="162">
        <v>3405.6</v>
      </c>
      <c r="AA146" s="162">
        <v>0</v>
      </c>
      <c r="AB146" s="162">
        <v>0</v>
      </c>
      <c r="AC146" s="157">
        <v>54260</v>
      </c>
      <c r="AD146" s="162">
        <v>0</v>
      </c>
      <c r="AE146" s="157" t="s">
        <v>433</v>
      </c>
      <c r="AF146" s="159"/>
      <c r="AG146" s="159"/>
      <c r="AH146" s="159" t="s">
        <v>2</v>
      </c>
      <c r="AI146" s="159" t="s">
        <v>1785</v>
      </c>
      <c r="AJ146" s="159" t="s">
        <v>1787</v>
      </c>
      <c r="AK146" s="159">
        <v>0</v>
      </c>
      <c r="AL146" s="159" t="s">
        <v>16</v>
      </c>
      <c r="AM146" s="159" t="s">
        <v>16</v>
      </c>
      <c r="AN146" s="275">
        <f t="shared" si="41"/>
        <v>5</v>
      </c>
      <c r="AO146" s="275">
        <f t="shared" si="42"/>
        <v>2001</v>
      </c>
      <c r="AP146" s="276">
        <f t="shared" si="43"/>
        <v>2013</v>
      </c>
      <c r="AQ146" s="277">
        <f t="shared" si="44"/>
        <v>2013.4166666666667</v>
      </c>
      <c r="AR146" s="278">
        <f t="shared" si="45"/>
        <v>23.650000000000002</v>
      </c>
      <c r="AS146" s="279">
        <f t="shared" si="46"/>
        <v>283.8</v>
      </c>
      <c r="AT146" s="279">
        <f t="shared" si="47"/>
        <v>0</v>
      </c>
      <c r="AU146" s="279">
        <f t="shared" si="48"/>
        <v>3405.6</v>
      </c>
      <c r="AV146" s="279">
        <f t="shared" si="49"/>
        <v>3405.6</v>
      </c>
      <c r="AW146" s="280">
        <f t="shared" si="50"/>
        <v>0</v>
      </c>
      <c r="AX146" s="281" t="s">
        <v>77</v>
      </c>
    </row>
    <row r="147" spans="2:50">
      <c r="B147" s="157">
        <v>2149</v>
      </c>
      <c r="C147" s="158">
        <v>257136</v>
      </c>
      <c r="D147" s="157" t="s">
        <v>433</v>
      </c>
      <c r="E147" s="159" t="s">
        <v>1626</v>
      </c>
      <c r="F147" s="160" t="s">
        <v>1414</v>
      </c>
      <c r="G147" s="160"/>
      <c r="H147" s="160"/>
      <c r="I147" s="157">
        <v>2</v>
      </c>
      <c r="J147" s="159"/>
      <c r="K147" s="157">
        <v>0</v>
      </c>
      <c r="L147" s="159" t="s">
        <v>784</v>
      </c>
      <c r="M147" s="159"/>
      <c r="N147" s="159" t="s">
        <v>646</v>
      </c>
      <c r="O147" s="159" t="s">
        <v>1789</v>
      </c>
      <c r="P147" s="159"/>
      <c r="Q147" s="159" t="s">
        <v>1818</v>
      </c>
      <c r="R147" s="159" t="s">
        <v>1791</v>
      </c>
      <c r="S147" s="161">
        <v>38519</v>
      </c>
      <c r="T147" s="161">
        <v>38519</v>
      </c>
      <c r="U147" s="159">
        <v>52131007</v>
      </c>
      <c r="V147" s="157">
        <v>1200</v>
      </c>
      <c r="W147" s="157">
        <v>14050</v>
      </c>
      <c r="X147" s="162">
        <v>859.52</v>
      </c>
      <c r="Y147" s="157">
        <v>14056</v>
      </c>
      <c r="Z147" s="162">
        <v>859.52</v>
      </c>
      <c r="AA147" s="162">
        <v>0</v>
      </c>
      <c r="AB147" s="162">
        <v>0</v>
      </c>
      <c r="AC147" s="157">
        <v>54260</v>
      </c>
      <c r="AD147" s="162">
        <v>0</v>
      </c>
      <c r="AE147" s="157" t="s">
        <v>433</v>
      </c>
      <c r="AF147" s="159">
        <v>0</v>
      </c>
      <c r="AG147" s="159"/>
      <c r="AH147" s="159" t="s">
        <v>2</v>
      </c>
      <c r="AI147" s="159" t="s">
        <v>1785</v>
      </c>
      <c r="AJ147" s="159" t="s">
        <v>1787</v>
      </c>
      <c r="AK147" s="159">
        <v>0</v>
      </c>
      <c r="AL147" s="159" t="s">
        <v>16</v>
      </c>
      <c r="AM147" s="159" t="s">
        <v>16</v>
      </c>
      <c r="AN147" s="275">
        <f t="shared" si="41"/>
        <v>6</v>
      </c>
      <c r="AO147" s="275">
        <f t="shared" si="42"/>
        <v>2005</v>
      </c>
      <c r="AP147" s="276">
        <f t="shared" si="43"/>
        <v>2017</v>
      </c>
      <c r="AQ147" s="277">
        <f t="shared" si="44"/>
        <v>2017.5</v>
      </c>
      <c r="AR147" s="278">
        <f t="shared" si="45"/>
        <v>5.9688888888888885</v>
      </c>
      <c r="AS147" s="279">
        <f t="shared" si="46"/>
        <v>71.626666666666665</v>
      </c>
      <c r="AT147" s="279">
        <f t="shared" si="47"/>
        <v>0</v>
      </c>
      <c r="AU147" s="279">
        <f t="shared" si="48"/>
        <v>859.52</v>
      </c>
      <c r="AV147" s="279">
        <f t="shared" si="49"/>
        <v>859.52</v>
      </c>
      <c r="AW147" s="280">
        <f t="shared" si="50"/>
        <v>0</v>
      </c>
      <c r="AX147" s="281" t="s">
        <v>77</v>
      </c>
    </row>
    <row r="148" spans="2:50">
      <c r="B148" s="157">
        <v>2149</v>
      </c>
      <c r="C148" s="158">
        <v>257135</v>
      </c>
      <c r="D148" s="157" t="s">
        <v>433</v>
      </c>
      <c r="E148" s="159" t="s">
        <v>1626</v>
      </c>
      <c r="F148" s="160" t="s">
        <v>1413</v>
      </c>
      <c r="G148" s="160"/>
      <c r="H148" s="160"/>
      <c r="I148" s="157">
        <v>2</v>
      </c>
      <c r="J148" s="159"/>
      <c r="K148" s="157">
        <v>0</v>
      </c>
      <c r="L148" s="159"/>
      <c r="M148" s="159"/>
      <c r="N148" s="159" t="s">
        <v>646</v>
      </c>
      <c r="O148" s="159" t="s">
        <v>1789</v>
      </c>
      <c r="P148" s="159"/>
      <c r="Q148" s="159" t="s">
        <v>1811</v>
      </c>
      <c r="R148" s="159" t="s">
        <v>1794</v>
      </c>
      <c r="S148" s="161">
        <v>33053</v>
      </c>
      <c r="T148" s="161">
        <v>33053</v>
      </c>
      <c r="U148" s="159"/>
      <c r="V148" s="157">
        <v>1500</v>
      </c>
      <c r="W148" s="157">
        <v>14050</v>
      </c>
      <c r="X148" s="162">
        <v>5112.45</v>
      </c>
      <c r="Y148" s="157">
        <v>14056</v>
      </c>
      <c r="Z148" s="162">
        <v>5112.45</v>
      </c>
      <c r="AA148" s="162">
        <v>0</v>
      </c>
      <c r="AB148" s="162">
        <v>0</v>
      </c>
      <c r="AC148" s="157">
        <v>54260</v>
      </c>
      <c r="AD148" s="162">
        <v>0</v>
      </c>
      <c r="AE148" s="157" t="s">
        <v>663</v>
      </c>
      <c r="AF148" s="159" t="s">
        <v>1412</v>
      </c>
      <c r="AG148" s="159" t="s">
        <v>1212</v>
      </c>
      <c r="AH148" s="159" t="s">
        <v>2</v>
      </c>
      <c r="AI148" s="159" t="s">
        <v>1785</v>
      </c>
      <c r="AJ148" s="159" t="s">
        <v>1787</v>
      </c>
      <c r="AK148" s="159">
        <v>0</v>
      </c>
      <c r="AL148" s="159" t="s">
        <v>22</v>
      </c>
      <c r="AM148" s="159" t="s">
        <v>22</v>
      </c>
      <c r="AN148" s="275">
        <f t="shared" si="41"/>
        <v>6</v>
      </c>
      <c r="AO148" s="275">
        <f t="shared" si="42"/>
        <v>1990</v>
      </c>
      <c r="AP148" s="276">
        <f t="shared" si="43"/>
        <v>2005</v>
      </c>
      <c r="AQ148" s="277">
        <f t="shared" si="44"/>
        <v>2005.5</v>
      </c>
      <c r="AR148" s="278">
        <f t="shared" si="45"/>
        <v>28.4025</v>
      </c>
      <c r="AS148" s="279">
        <f t="shared" si="46"/>
        <v>340.83</v>
      </c>
      <c r="AT148" s="279">
        <f t="shared" si="47"/>
        <v>0</v>
      </c>
      <c r="AU148" s="279">
        <f t="shared" si="48"/>
        <v>5112.45</v>
      </c>
      <c r="AV148" s="279">
        <f t="shared" si="49"/>
        <v>5112.45</v>
      </c>
      <c r="AW148" s="280">
        <f t="shared" si="50"/>
        <v>0</v>
      </c>
      <c r="AX148" s="281" t="s">
        <v>77</v>
      </c>
    </row>
    <row r="149" spans="2:50">
      <c r="B149" s="157">
        <v>2149</v>
      </c>
      <c r="C149" s="158">
        <v>256597</v>
      </c>
      <c r="D149" s="157" t="s">
        <v>433</v>
      </c>
      <c r="E149" s="159" t="s">
        <v>1626</v>
      </c>
      <c r="F149" s="160" t="s">
        <v>1411</v>
      </c>
      <c r="G149" s="160"/>
      <c r="H149" s="160"/>
      <c r="I149" s="157">
        <v>2</v>
      </c>
      <c r="J149" s="159"/>
      <c r="K149" s="157">
        <v>0</v>
      </c>
      <c r="L149" s="159"/>
      <c r="M149" s="159"/>
      <c r="N149" s="159" t="s">
        <v>646</v>
      </c>
      <c r="O149" s="159" t="s">
        <v>1789</v>
      </c>
      <c r="P149" s="159"/>
      <c r="Q149" s="159" t="s">
        <v>1796</v>
      </c>
      <c r="R149" s="159" t="s">
        <v>1794</v>
      </c>
      <c r="S149" s="161">
        <v>35886</v>
      </c>
      <c r="T149" s="161">
        <v>35886</v>
      </c>
      <c r="U149" s="159"/>
      <c r="V149" s="157">
        <v>1200</v>
      </c>
      <c r="W149" s="157">
        <v>14050</v>
      </c>
      <c r="X149" s="162">
        <v>7295.28</v>
      </c>
      <c r="Y149" s="157">
        <v>14056</v>
      </c>
      <c r="Z149" s="162">
        <v>7295.28</v>
      </c>
      <c r="AA149" s="162">
        <v>0</v>
      </c>
      <c r="AB149" s="162">
        <v>0</v>
      </c>
      <c r="AC149" s="157">
        <v>54260</v>
      </c>
      <c r="AD149" s="162">
        <v>0</v>
      </c>
      <c r="AE149" s="157" t="s">
        <v>663</v>
      </c>
      <c r="AF149" s="159" t="s">
        <v>1409</v>
      </c>
      <c r="AG149" s="159" t="s">
        <v>1212</v>
      </c>
      <c r="AH149" s="159" t="s">
        <v>2</v>
      </c>
      <c r="AI149" s="159" t="s">
        <v>1785</v>
      </c>
      <c r="AJ149" s="159" t="s">
        <v>1787</v>
      </c>
      <c r="AK149" s="159">
        <v>0</v>
      </c>
      <c r="AL149" s="159" t="s">
        <v>17</v>
      </c>
      <c r="AM149" s="159" t="s">
        <v>17</v>
      </c>
      <c r="AN149" s="275">
        <f t="shared" si="41"/>
        <v>4</v>
      </c>
      <c r="AO149" s="275">
        <f t="shared" si="42"/>
        <v>1998</v>
      </c>
      <c r="AP149" s="276">
        <f t="shared" si="43"/>
        <v>2010</v>
      </c>
      <c r="AQ149" s="277">
        <f t="shared" si="44"/>
        <v>2010.3333333333333</v>
      </c>
      <c r="AR149" s="278">
        <f t="shared" si="45"/>
        <v>50.661666666666662</v>
      </c>
      <c r="AS149" s="279">
        <f t="shared" si="46"/>
        <v>607.93999999999994</v>
      </c>
      <c r="AT149" s="279">
        <f t="shared" si="47"/>
        <v>0</v>
      </c>
      <c r="AU149" s="279">
        <f t="shared" si="48"/>
        <v>7295.28</v>
      </c>
      <c r="AV149" s="279">
        <f t="shared" si="49"/>
        <v>7295.28</v>
      </c>
      <c r="AW149" s="280">
        <f t="shared" si="50"/>
        <v>0</v>
      </c>
      <c r="AX149" s="281" t="s">
        <v>77</v>
      </c>
    </row>
    <row r="150" spans="2:50">
      <c r="B150" s="157">
        <v>2149</v>
      </c>
      <c r="C150" s="158">
        <v>256596</v>
      </c>
      <c r="D150" s="157" t="s">
        <v>433</v>
      </c>
      <c r="E150" s="159" t="s">
        <v>1626</v>
      </c>
      <c r="F150" s="160" t="s">
        <v>1410</v>
      </c>
      <c r="G150" s="160"/>
      <c r="H150" s="160"/>
      <c r="I150" s="157">
        <v>2</v>
      </c>
      <c r="J150" s="159"/>
      <c r="K150" s="157">
        <v>0</v>
      </c>
      <c r="L150" s="159"/>
      <c r="M150" s="159"/>
      <c r="N150" s="159" t="s">
        <v>646</v>
      </c>
      <c r="O150" s="159" t="s">
        <v>1789</v>
      </c>
      <c r="P150" s="159"/>
      <c r="Q150" s="159" t="s">
        <v>1796</v>
      </c>
      <c r="R150" s="159" t="s">
        <v>1794</v>
      </c>
      <c r="S150" s="161">
        <v>34638</v>
      </c>
      <c r="T150" s="161">
        <v>34638</v>
      </c>
      <c r="U150" s="159"/>
      <c r="V150" s="157">
        <v>1200</v>
      </c>
      <c r="W150" s="157">
        <v>14050</v>
      </c>
      <c r="X150" s="162">
        <v>6716.13</v>
      </c>
      <c r="Y150" s="157">
        <v>14056</v>
      </c>
      <c r="Z150" s="162">
        <v>6716.13</v>
      </c>
      <c r="AA150" s="162">
        <v>0</v>
      </c>
      <c r="AB150" s="162">
        <v>0</v>
      </c>
      <c r="AC150" s="157">
        <v>54260</v>
      </c>
      <c r="AD150" s="162">
        <v>0</v>
      </c>
      <c r="AE150" s="157" t="s">
        <v>663</v>
      </c>
      <c r="AF150" s="159" t="s">
        <v>1409</v>
      </c>
      <c r="AG150" s="159" t="s">
        <v>1212</v>
      </c>
      <c r="AH150" s="159" t="s">
        <v>2</v>
      </c>
      <c r="AI150" s="159" t="s">
        <v>1785</v>
      </c>
      <c r="AJ150" s="159" t="s">
        <v>1787</v>
      </c>
      <c r="AK150" s="159">
        <v>0</v>
      </c>
      <c r="AL150" s="159" t="s">
        <v>17</v>
      </c>
      <c r="AM150" s="159" t="s">
        <v>17</v>
      </c>
      <c r="AN150" s="275">
        <f t="shared" si="41"/>
        <v>10</v>
      </c>
      <c r="AO150" s="275">
        <f t="shared" si="42"/>
        <v>1994</v>
      </c>
      <c r="AP150" s="276">
        <f t="shared" si="43"/>
        <v>2006</v>
      </c>
      <c r="AQ150" s="277">
        <f t="shared" si="44"/>
        <v>2006.8333333333333</v>
      </c>
      <c r="AR150" s="278">
        <f t="shared" si="45"/>
        <v>46.639791666666667</v>
      </c>
      <c r="AS150" s="279">
        <f t="shared" si="46"/>
        <v>559.67750000000001</v>
      </c>
      <c r="AT150" s="279">
        <f t="shared" si="47"/>
        <v>0</v>
      </c>
      <c r="AU150" s="279">
        <f t="shared" si="48"/>
        <v>6716.13</v>
      </c>
      <c r="AV150" s="279">
        <f t="shared" si="49"/>
        <v>6716.13</v>
      </c>
      <c r="AW150" s="280">
        <f t="shared" si="50"/>
        <v>0</v>
      </c>
      <c r="AX150" s="281" t="s">
        <v>77</v>
      </c>
    </row>
    <row r="151" spans="2:50">
      <c r="B151" s="157">
        <v>2149</v>
      </c>
      <c r="C151" s="158">
        <v>256595</v>
      </c>
      <c r="D151" s="157" t="s">
        <v>433</v>
      </c>
      <c r="E151" s="159" t="s">
        <v>1626</v>
      </c>
      <c r="F151" s="160" t="s">
        <v>1408</v>
      </c>
      <c r="G151" s="160"/>
      <c r="H151" s="160"/>
      <c r="I151" s="157">
        <v>12</v>
      </c>
      <c r="J151" s="159" t="s">
        <v>1407</v>
      </c>
      <c r="K151" s="157">
        <v>0</v>
      </c>
      <c r="L151" s="159" t="s">
        <v>1406</v>
      </c>
      <c r="M151" s="159"/>
      <c r="N151" s="159" t="s">
        <v>646</v>
      </c>
      <c r="O151" s="159" t="s">
        <v>1789</v>
      </c>
      <c r="P151" s="159"/>
      <c r="Q151" s="159" t="s">
        <v>1792</v>
      </c>
      <c r="R151" s="159" t="s">
        <v>1791</v>
      </c>
      <c r="S151" s="161">
        <v>36587</v>
      </c>
      <c r="T151" s="161">
        <v>36587</v>
      </c>
      <c r="U151" s="159">
        <v>219</v>
      </c>
      <c r="V151" s="157">
        <v>1200</v>
      </c>
      <c r="W151" s="157">
        <v>14050</v>
      </c>
      <c r="X151" s="162">
        <v>3814.99</v>
      </c>
      <c r="Y151" s="157">
        <v>14056</v>
      </c>
      <c r="Z151" s="162">
        <v>3814.99</v>
      </c>
      <c r="AA151" s="162">
        <v>0</v>
      </c>
      <c r="AB151" s="162">
        <v>0</v>
      </c>
      <c r="AC151" s="157">
        <v>54260</v>
      </c>
      <c r="AD151" s="162">
        <v>0</v>
      </c>
      <c r="AE151" s="157" t="s">
        <v>433</v>
      </c>
      <c r="AF151" s="159" t="s">
        <v>1405</v>
      </c>
      <c r="AG151" s="159"/>
      <c r="AH151" s="159" t="s">
        <v>2</v>
      </c>
      <c r="AI151" s="159" t="s">
        <v>1785</v>
      </c>
      <c r="AJ151" s="159" t="s">
        <v>1787</v>
      </c>
      <c r="AK151" s="159">
        <v>0</v>
      </c>
      <c r="AL151" s="159" t="s">
        <v>16</v>
      </c>
      <c r="AM151" s="159" t="s">
        <v>16</v>
      </c>
      <c r="AN151" s="275">
        <f t="shared" si="41"/>
        <v>3</v>
      </c>
      <c r="AO151" s="275">
        <f t="shared" si="42"/>
        <v>2000</v>
      </c>
      <c r="AP151" s="276">
        <f t="shared" si="43"/>
        <v>2012</v>
      </c>
      <c r="AQ151" s="277">
        <f t="shared" si="44"/>
        <v>2012.25</v>
      </c>
      <c r="AR151" s="278">
        <f t="shared" si="45"/>
        <v>26.492986111111108</v>
      </c>
      <c r="AS151" s="279">
        <f t="shared" si="46"/>
        <v>317.9158333333333</v>
      </c>
      <c r="AT151" s="279">
        <f t="shared" si="47"/>
        <v>0</v>
      </c>
      <c r="AU151" s="279">
        <f t="shared" si="48"/>
        <v>3814.99</v>
      </c>
      <c r="AV151" s="279">
        <f t="shared" si="49"/>
        <v>3814.99</v>
      </c>
      <c r="AW151" s="280">
        <f t="shared" si="50"/>
        <v>0</v>
      </c>
      <c r="AX151" s="281" t="s">
        <v>77</v>
      </c>
    </row>
    <row r="152" spans="2:50">
      <c r="B152" s="157">
        <v>2149</v>
      </c>
      <c r="C152" s="158">
        <v>256169</v>
      </c>
      <c r="D152" s="157" t="s">
        <v>433</v>
      </c>
      <c r="E152" s="159" t="s">
        <v>1626</v>
      </c>
      <c r="F152" s="160" t="s">
        <v>1404</v>
      </c>
      <c r="G152" s="160"/>
      <c r="H152" s="160"/>
      <c r="I152" s="157">
        <v>112</v>
      </c>
      <c r="J152" s="159"/>
      <c r="K152" s="157">
        <v>0</v>
      </c>
      <c r="L152" s="159" t="s">
        <v>1368</v>
      </c>
      <c r="M152" s="159"/>
      <c r="N152" s="159" t="s">
        <v>646</v>
      </c>
      <c r="O152" s="159" t="s">
        <v>1789</v>
      </c>
      <c r="P152" s="159"/>
      <c r="Q152" s="159"/>
      <c r="R152" s="159"/>
      <c r="S152" s="161">
        <v>44402</v>
      </c>
      <c r="T152" s="161">
        <v>44402</v>
      </c>
      <c r="U152" s="159" t="s">
        <v>1401</v>
      </c>
      <c r="V152" s="157">
        <v>700</v>
      </c>
      <c r="W152" s="157">
        <v>14050</v>
      </c>
      <c r="X152" s="162">
        <v>5975.14</v>
      </c>
      <c r="Y152" s="157">
        <v>14056</v>
      </c>
      <c r="Z152" s="162">
        <v>2347.36</v>
      </c>
      <c r="AA152" s="162">
        <v>3627.78</v>
      </c>
      <c r="AB152" s="162">
        <v>284.52</v>
      </c>
      <c r="AC152" s="157">
        <v>54260</v>
      </c>
      <c r="AD152" s="162">
        <v>71.13</v>
      </c>
      <c r="AE152" s="157" t="s">
        <v>433</v>
      </c>
      <c r="AF152" s="159"/>
      <c r="AG152" s="159"/>
      <c r="AH152" s="159" t="s">
        <v>2</v>
      </c>
      <c r="AI152" s="159" t="s">
        <v>1785</v>
      </c>
      <c r="AJ152" s="159" t="s">
        <v>1787</v>
      </c>
      <c r="AK152" s="159">
        <v>0</v>
      </c>
      <c r="AL152" s="159" t="s">
        <v>573</v>
      </c>
      <c r="AM152" s="159" t="s">
        <v>573</v>
      </c>
      <c r="AN152" s="275">
        <f t="shared" si="41"/>
        <v>7</v>
      </c>
      <c r="AO152" s="275">
        <f t="shared" si="42"/>
        <v>2021</v>
      </c>
      <c r="AP152" s="276">
        <f t="shared" si="43"/>
        <v>2028</v>
      </c>
      <c r="AQ152" s="277">
        <f t="shared" si="44"/>
        <v>2028.5833333333333</v>
      </c>
      <c r="AR152" s="278">
        <f t="shared" si="45"/>
        <v>71.132619047619059</v>
      </c>
      <c r="AS152" s="279">
        <f t="shared" si="46"/>
        <v>853.59142857142865</v>
      </c>
      <c r="AT152" s="279">
        <f t="shared" si="47"/>
        <v>853.59142857142865</v>
      </c>
      <c r="AU152" s="279">
        <f t="shared" si="48"/>
        <v>1422.6523809524451</v>
      </c>
      <c r="AV152" s="279">
        <f t="shared" si="49"/>
        <v>2276.243809523874</v>
      </c>
      <c r="AW152" s="280">
        <f t="shared" si="50"/>
        <v>3698.8961904761263</v>
      </c>
      <c r="AX152" s="281" t="s">
        <v>77</v>
      </c>
    </row>
    <row r="153" spans="2:50">
      <c r="B153" s="157">
        <v>2149</v>
      </c>
      <c r="C153" s="158">
        <v>256168</v>
      </c>
      <c r="D153" s="157" t="s">
        <v>433</v>
      </c>
      <c r="E153" s="159" t="s">
        <v>1626</v>
      </c>
      <c r="F153" s="160" t="s">
        <v>1403</v>
      </c>
      <c r="G153" s="160"/>
      <c r="H153" s="160"/>
      <c r="I153" s="157">
        <v>200</v>
      </c>
      <c r="J153" s="159"/>
      <c r="K153" s="157">
        <v>0</v>
      </c>
      <c r="L153" s="159" t="s">
        <v>1368</v>
      </c>
      <c r="M153" s="159"/>
      <c r="N153" s="159" t="s">
        <v>646</v>
      </c>
      <c r="O153" s="159" t="s">
        <v>1789</v>
      </c>
      <c r="P153" s="159"/>
      <c r="Q153" s="159"/>
      <c r="R153" s="159"/>
      <c r="S153" s="161">
        <v>44402</v>
      </c>
      <c r="T153" s="161">
        <v>44402</v>
      </c>
      <c r="U153" s="159" t="s">
        <v>1401</v>
      </c>
      <c r="V153" s="157">
        <v>700</v>
      </c>
      <c r="W153" s="157">
        <v>14050</v>
      </c>
      <c r="X153" s="162">
        <v>11900.28</v>
      </c>
      <c r="Y153" s="157">
        <v>14056</v>
      </c>
      <c r="Z153" s="162">
        <v>4675.1099999999997</v>
      </c>
      <c r="AA153" s="162">
        <v>7225.170000000001</v>
      </c>
      <c r="AB153" s="162">
        <v>566.67999999999995</v>
      </c>
      <c r="AC153" s="157">
        <v>54260</v>
      </c>
      <c r="AD153" s="162">
        <v>141.66999999999999</v>
      </c>
      <c r="AE153" s="157" t="s">
        <v>433</v>
      </c>
      <c r="AF153" s="159"/>
      <c r="AG153" s="159"/>
      <c r="AH153" s="159" t="s">
        <v>2</v>
      </c>
      <c r="AI153" s="159" t="s">
        <v>1785</v>
      </c>
      <c r="AJ153" s="159" t="s">
        <v>1787</v>
      </c>
      <c r="AK153" s="159">
        <v>0</v>
      </c>
      <c r="AL153" s="159" t="s">
        <v>573</v>
      </c>
      <c r="AM153" s="159" t="s">
        <v>573</v>
      </c>
      <c r="AN153" s="275">
        <f t="shared" si="41"/>
        <v>7</v>
      </c>
      <c r="AO153" s="275">
        <f t="shared" si="42"/>
        <v>2021</v>
      </c>
      <c r="AP153" s="276">
        <f t="shared" si="43"/>
        <v>2028</v>
      </c>
      <c r="AQ153" s="277">
        <f t="shared" si="44"/>
        <v>2028.5833333333333</v>
      </c>
      <c r="AR153" s="278">
        <f t="shared" si="45"/>
        <v>141.67000000000002</v>
      </c>
      <c r="AS153" s="279">
        <f t="shared" si="46"/>
        <v>1700.0400000000002</v>
      </c>
      <c r="AT153" s="279">
        <f t="shared" si="47"/>
        <v>1700.0400000000002</v>
      </c>
      <c r="AU153" s="279">
        <f t="shared" si="48"/>
        <v>2833.4000000001288</v>
      </c>
      <c r="AV153" s="279">
        <f t="shared" si="49"/>
        <v>4533.4400000001287</v>
      </c>
      <c r="AW153" s="280">
        <f t="shared" si="50"/>
        <v>7366.8399999998719</v>
      </c>
      <c r="AX153" s="281" t="s">
        <v>77</v>
      </c>
    </row>
    <row r="154" spans="2:50">
      <c r="B154" s="157">
        <v>2149</v>
      </c>
      <c r="C154" s="158">
        <v>256167</v>
      </c>
      <c r="D154" s="157" t="s">
        <v>433</v>
      </c>
      <c r="E154" s="159" t="s">
        <v>1626</v>
      </c>
      <c r="F154" s="160" t="s">
        <v>1402</v>
      </c>
      <c r="G154" s="160"/>
      <c r="H154" s="160"/>
      <c r="I154" s="157">
        <v>300</v>
      </c>
      <c r="J154" s="159"/>
      <c r="K154" s="157">
        <v>0</v>
      </c>
      <c r="L154" s="159" t="s">
        <v>1368</v>
      </c>
      <c r="M154" s="159"/>
      <c r="N154" s="159" t="s">
        <v>646</v>
      </c>
      <c r="O154" s="159" t="s">
        <v>1789</v>
      </c>
      <c r="P154" s="159"/>
      <c r="Q154" s="159"/>
      <c r="R154" s="159"/>
      <c r="S154" s="161">
        <v>44402</v>
      </c>
      <c r="T154" s="161">
        <v>44402</v>
      </c>
      <c r="U154" s="159" t="s">
        <v>1401</v>
      </c>
      <c r="V154" s="157">
        <v>700</v>
      </c>
      <c r="W154" s="157">
        <v>14050</v>
      </c>
      <c r="X154" s="162">
        <v>17850.419999999998</v>
      </c>
      <c r="Y154" s="157">
        <v>14056</v>
      </c>
      <c r="Z154" s="162">
        <v>7012.69</v>
      </c>
      <c r="AA154" s="162">
        <v>10837.73</v>
      </c>
      <c r="AB154" s="162">
        <v>850.04</v>
      </c>
      <c r="AC154" s="157">
        <v>54260</v>
      </c>
      <c r="AD154" s="162">
        <v>212.51</v>
      </c>
      <c r="AE154" s="157" t="s">
        <v>433</v>
      </c>
      <c r="AF154" s="159"/>
      <c r="AG154" s="159"/>
      <c r="AH154" s="159" t="s">
        <v>2</v>
      </c>
      <c r="AI154" s="159" t="s">
        <v>1785</v>
      </c>
      <c r="AJ154" s="159" t="s">
        <v>1787</v>
      </c>
      <c r="AK154" s="159">
        <v>0</v>
      </c>
      <c r="AL154" s="159" t="s">
        <v>18</v>
      </c>
      <c r="AM154" s="159" t="s">
        <v>18</v>
      </c>
      <c r="AN154" s="275">
        <f t="shared" si="41"/>
        <v>7</v>
      </c>
      <c r="AO154" s="275">
        <f t="shared" si="42"/>
        <v>2021</v>
      </c>
      <c r="AP154" s="276">
        <f t="shared" si="43"/>
        <v>2028</v>
      </c>
      <c r="AQ154" s="277">
        <f t="shared" si="44"/>
        <v>2028.5833333333333</v>
      </c>
      <c r="AR154" s="278">
        <f t="shared" si="45"/>
        <v>212.505</v>
      </c>
      <c r="AS154" s="279">
        <f t="shared" si="46"/>
        <v>2550.06</v>
      </c>
      <c r="AT154" s="279">
        <f t="shared" si="47"/>
        <v>2550.06</v>
      </c>
      <c r="AU154" s="279">
        <f t="shared" si="48"/>
        <v>4250.1000000001914</v>
      </c>
      <c r="AV154" s="279">
        <f t="shared" si="49"/>
        <v>6800.1600000001908</v>
      </c>
      <c r="AW154" s="280">
        <f t="shared" si="50"/>
        <v>11050.259999999807</v>
      </c>
      <c r="AX154" s="281" t="s">
        <v>77</v>
      </c>
    </row>
    <row r="155" spans="2:50">
      <c r="B155" s="157">
        <v>2149</v>
      </c>
      <c r="C155" s="158">
        <v>255877</v>
      </c>
      <c r="D155" s="157" t="s">
        <v>433</v>
      </c>
      <c r="E155" s="159" t="s">
        <v>1626</v>
      </c>
      <c r="F155" s="160" t="s">
        <v>1400</v>
      </c>
      <c r="G155" s="160"/>
      <c r="H155" s="160"/>
      <c r="I155" s="157">
        <v>30</v>
      </c>
      <c r="J155" s="159"/>
      <c r="K155" s="157">
        <v>0</v>
      </c>
      <c r="L155" s="159" t="s">
        <v>1241</v>
      </c>
      <c r="M155" s="159"/>
      <c r="N155" s="159" t="s">
        <v>646</v>
      </c>
      <c r="O155" s="159" t="s">
        <v>1789</v>
      </c>
      <c r="P155" s="159"/>
      <c r="Q155" s="159" t="s">
        <v>1792</v>
      </c>
      <c r="R155" s="159" t="s">
        <v>1791</v>
      </c>
      <c r="S155" s="161">
        <v>44384</v>
      </c>
      <c r="T155" s="161">
        <v>44384</v>
      </c>
      <c r="U155" s="159" t="s">
        <v>1399</v>
      </c>
      <c r="V155" s="157">
        <v>1200</v>
      </c>
      <c r="W155" s="157">
        <v>14050</v>
      </c>
      <c r="X155" s="162">
        <v>22050</v>
      </c>
      <c r="Y155" s="157">
        <v>14056</v>
      </c>
      <c r="Z155" s="162">
        <v>5206.2700000000004</v>
      </c>
      <c r="AA155" s="162">
        <v>16843.73</v>
      </c>
      <c r="AB155" s="162">
        <v>612.52</v>
      </c>
      <c r="AC155" s="157">
        <v>54260</v>
      </c>
      <c r="AD155" s="162">
        <v>153.13</v>
      </c>
      <c r="AE155" s="157" t="s">
        <v>433</v>
      </c>
      <c r="AF155" s="159"/>
      <c r="AG155" s="159"/>
      <c r="AH155" s="159" t="s">
        <v>2</v>
      </c>
      <c r="AI155" s="159" t="s">
        <v>1785</v>
      </c>
      <c r="AJ155" s="159" t="s">
        <v>1787</v>
      </c>
      <c r="AK155" s="159">
        <v>0</v>
      </c>
      <c r="AL155" s="159" t="s">
        <v>16</v>
      </c>
      <c r="AM155" s="159" t="s">
        <v>16</v>
      </c>
      <c r="AN155" s="275">
        <f t="shared" si="41"/>
        <v>7</v>
      </c>
      <c r="AO155" s="275">
        <f t="shared" si="42"/>
        <v>2021</v>
      </c>
      <c r="AP155" s="276">
        <f t="shared" si="43"/>
        <v>2033</v>
      </c>
      <c r="AQ155" s="277">
        <f t="shared" si="44"/>
        <v>2033.5833333333333</v>
      </c>
      <c r="AR155" s="278">
        <f t="shared" si="45"/>
        <v>153.125</v>
      </c>
      <c r="AS155" s="279">
        <f t="shared" si="46"/>
        <v>1837.5</v>
      </c>
      <c r="AT155" s="279">
        <f t="shared" si="47"/>
        <v>1837.5</v>
      </c>
      <c r="AU155" s="279">
        <f t="shared" si="48"/>
        <v>3062.5000000001382</v>
      </c>
      <c r="AV155" s="279">
        <f t="shared" si="49"/>
        <v>4900.0000000001382</v>
      </c>
      <c r="AW155" s="280">
        <f t="shared" si="50"/>
        <v>17149.999999999862</v>
      </c>
      <c r="AX155" s="281" t="s">
        <v>77</v>
      </c>
    </row>
    <row r="156" spans="2:50">
      <c r="B156" s="157">
        <v>2149</v>
      </c>
      <c r="C156" s="158">
        <v>255685</v>
      </c>
      <c r="D156" s="157" t="s">
        <v>433</v>
      </c>
      <c r="E156" s="159" t="s">
        <v>1626</v>
      </c>
      <c r="F156" s="160" t="s">
        <v>107</v>
      </c>
      <c r="G156" s="160"/>
      <c r="H156" s="160"/>
      <c r="I156" s="157">
        <v>1</v>
      </c>
      <c r="J156" s="159"/>
      <c r="K156" s="157">
        <v>0</v>
      </c>
      <c r="L156" s="159"/>
      <c r="M156" s="159"/>
      <c r="N156" s="159" t="s">
        <v>1801</v>
      </c>
      <c r="O156" s="159" t="s">
        <v>1789</v>
      </c>
      <c r="P156" s="159"/>
      <c r="Q156" s="159"/>
      <c r="R156" s="159"/>
      <c r="S156" s="161">
        <v>44378</v>
      </c>
      <c r="T156" s="161">
        <v>44378</v>
      </c>
      <c r="U156" s="159" t="s">
        <v>1398</v>
      </c>
      <c r="V156" s="157">
        <v>500</v>
      </c>
      <c r="W156" s="157">
        <v>14070</v>
      </c>
      <c r="X156" s="162">
        <v>539.04999999999995</v>
      </c>
      <c r="Y156" s="157">
        <v>14076</v>
      </c>
      <c r="Z156" s="162">
        <v>305.42</v>
      </c>
      <c r="AA156" s="162">
        <v>233.62999999999994</v>
      </c>
      <c r="AB156" s="162">
        <v>35.92</v>
      </c>
      <c r="AC156" s="157">
        <v>51260</v>
      </c>
      <c r="AD156" s="162">
        <v>8.98</v>
      </c>
      <c r="AE156" s="157" t="s">
        <v>433</v>
      </c>
      <c r="AF156" s="159"/>
      <c r="AG156" s="159"/>
      <c r="AH156" s="159" t="s">
        <v>2</v>
      </c>
      <c r="AI156" s="159" t="s">
        <v>1785</v>
      </c>
      <c r="AJ156" s="159" t="s">
        <v>1787</v>
      </c>
      <c r="AK156" s="159">
        <v>0</v>
      </c>
      <c r="AL156" s="159" t="s">
        <v>22</v>
      </c>
      <c r="AM156" s="159" t="s">
        <v>22</v>
      </c>
      <c r="AN156" s="275">
        <f t="shared" si="41"/>
        <v>7</v>
      </c>
      <c r="AO156" s="275">
        <f t="shared" si="42"/>
        <v>2021</v>
      </c>
      <c r="AP156" s="276">
        <f t="shared" si="43"/>
        <v>2026</v>
      </c>
      <c r="AQ156" s="277">
        <f t="shared" si="44"/>
        <v>2026.5833333333333</v>
      </c>
      <c r="AR156" s="278">
        <f t="shared" si="45"/>
        <v>8.9841666666666651</v>
      </c>
      <c r="AS156" s="279">
        <f t="shared" si="46"/>
        <v>107.80999999999997</v>
      </c>
      <c r="AT156" s="279">
        <f t="shared" si="47"/>
        <v>107.80999999999997</v>
      </c>
      <c r="AU156" s="279">
        <f t="shared" si="48"/>
        <v>179.68333333334152</v>
      </c>
      <c r="AV156" s="279">
        <f t="shared" si="49"/>
        <v>287.49333333334152</v>
      </c>
      <c r="AW156" s="280">
        <f t="shared" si="50"/>
        <v>251.55666666665843</v>
      </c>
      <c r="AX156" s="281" t="s">
        <v>77</v>
      </c>
    </row>
    <row r="157" spans="2:50">
      <c r="B157" s="157">
        <v>2149</v>
      </c>
      <c r="C157" s="158">
        <v>255408</v>
      </c>
      <c r="D157" s="157" t="s">
        <v>433</v>
      </c>
      <c r="E157" s="159" t="s">
        <v>1626</v>
      </c>
      <c r="F157" s="160" t="s">
        <v>1397</v>
      </c>
      <c r="G157" s="160"/>
      <c r="H157" s="160"/>
      <c r="I157" s="157">
        <v>1</v>
      </c>
      <c r="J157" s="159" t="s">
        <v>1396</v>
      </c>
      <c r="K157" s="157">
        <v>2022</v>
      </c>
      <c r="L157" s="159" t="s">
        <v>1146</v>
      </c>
      <c r="M157" s="159" t="s">
        <v>1587</v>
      </c>
      <c r="N157" s="159" t="s">
        <v>1788</v>
      </c>
      <c r="O157" s="159" t="s">
        <v>1789</v>
      </c>
      <c r="P157" s="159" t="s">
        <v>1802</v>
      </c>
      <c r="Q157" s="159"/>
      <c r="R157" s="159"/>
      <c r="S157" s="161">
        <v>44397</v>
      </c>
      <c r="T157" s="161">
        <v>44397</v>
      </c>
      <c r="U157" s="159" t="s">
        <v>1395</v>
      </c>
      <c r="V157" s="157">
        <v>1000</v>
      </c>
      <c r="W157" s="157">
        <v>14040</v>
      </c>
      <c r="X157" s="162">
        <v>281256.27</v>
      </c>
      <c r="Y157" s="157">
        <v>14046</v>
      </c>
      <c r="Z157" s="162">
        <v>77345.440000000002</v>
      </c>
      <c r="AA157" s="162">
        <v>203910.83000000002</v>
      </c>
      <c r="AB157" s="162">
        <v>9375.2000000000007</v>
      </c>
      <c r="AC157" s="157">
        <v>51260</v>
      </c>
      <c r="AD157" s="162">
        <v>2343.8000000000002</v>
      </c>
      <c r="AE157" s="157" t="s">
        <v>433</v>
      </c>
      <c r="AF157" s="159"/>
      <c r="AG157" s="159">
        <v>50</v>
      </c>
      <c r="AH157" s="159" t="s">
        <v>2</v>
      </c>
      <c r="AI157" s="159" t="s">
        <v>1785</v>
      </c>
      <c r="AJ157" s="159" t="s">
        <v>1787</v>
      </c>
      <c r="AK157" s="159">
        <v>0</v>
      </c>
      <c r="AL157" s="159" t="s">
        <v>1567</v>
      </c>
      <c r="AM157" s="159" t="s">
        <v>1567</v>
      </c>
      <c r="AN157" s="275">
        <f t="shared" si="41"/>
        <v>7</v>
      </c>
      <c r="AO157" s="275">
        <f t="shared" si="42"/>
        <v>2021</v>
      </c>
      <c r="AP157" s="276">
        <f t="shared" si="43"/>
        <v>2031</v>
      </c>
      <c r="AQ157" s="277">
        <f t="shared" si="44"/>
        <v>2031.5833333333333</v>
      </c>
      <c r="AR157" s="278">
        <f t="shared" si="45"/>
        <v>2343.8022500000002</v>
      </c>
      <c r="AS157" s="279">
        <f t="shared" si="46"/>
        <v>28125.627</v>
      </c>
      <c r="AT157" s="279">
        <f t="shared" si="47"/>
        <v>28125.627</v>
      </c>
      <c r="AU157" s="279">
        <f t="shared" si="48"/>
        <v>46876.045000002137</v>
      </c>
      <c r="AV157" s="279">
        <f t="shared" si="49"/>
        <v>75001.672000002145</v>
      </c>
      <c r="AW157" s="280">
        <f t="shared" si="50"/>
        <v>206254.59799999787</v>
      </c>
      <c r="AX157" s="281" t="s">
        <v>77</v>
      </c>
    </row>
    <row r="158" spans="2:50">
      <c r="B158" s="157">
        <v>2149</v>
      </c>
      <c r="C158" s="158">
        <v>254573</v>
      </c>
      <c r="D158" s="157" t="s">
        <v>433</v>
      </c>
      <c r="E158" s="159" t="s">
        <v>1626</v>
      </c>
      <c r="F158" s="160" t="s">
        <v>1394</v>
      </c>
      <c r="G158" s="160"/>
      <c r="H158" s="160"/>
      <c r="I158" s="157">
        <v>25</v>
      </c>
      <c r="J158" s="159"/>
      <c r="K158" s="157">
        <v>0</v>
      </c>
      <c r="L158" s="159" t="s">
        <v>1393</v>
      </c>
      <c r="M158" s="159"/>
      <c r="N158" s="159" t="s">
        <v>646</v>
      </c>
      <c r="O158" s="159" t="s">
        <v>1789</v>
      </c>
      <c r="P158" s="159"/>
      <c r="Q158" s="159"/>
      <c r="R158" s="159"/>
      <c r="S158" s="161">
        <v>44376</v>
      </c>
      <c r="T158" s="161">
        <v>44376</v>
      </c>
      <c r="U158" s="159" t="s">
        <v>1392</v>
      </c>
      <c r="V158" s="157">
        <v>700</v>
      </c>
      <c r="W158" s="157">
        <v>14050</v>
      </c>
      <c r="X158" s="162">
        <v>9873.5</v>
      </c>
      <c r="Y158" s="157">
        <v>14056</v>
      </c>
      <c r="Z158" s="162">
        <v>3996.41</v>
      </c>
      <c r="AA158" s="162">
        <v>5877.09</v>
      </c>
      <c r="AB158" s="162">
        <v>470.16</v>
      </c>
      <c r="AC158" s="157">
        <v>54260</v>
      </c>
      <c r="AD158" s="162">
        <v>117.54</v>
      </c>
      <c r="AE158" s="157" t="s">
        <v>433</v>
      </c>
      <c r="AF158" s="159"/>
      <c r="AG158" s="159"/>
      <c r="AH158" s="159" t="s">
        <v>2</v>
      </c>
      <c r="AI158" s="159" t="s">
        <v>1785</v>
      </c>
      <c r="AJ158" s="159" t="s">
        <v>1787</v>
      </c>
      <c r="AK158" s="159">
        <v>0</v>
      </c>
      <c r="AL158" s="159" t="s">
        <v>372</v>
      </c>
      <c r="AM158" s="159" t="s">
        <v>372</v>
      </c>
      <c r="AN158" s="275">
        <f t="shared" si="41"/>
        <v>6</v>
      </c>
      <c r="AO158" s="275">
        <f t="shared" si="42"/>
        <v>2021</v>
      </c>
      <c r="AP158" s="276">
        <f t="shared" si="43"/>
        <v>2028</v>
      </c>
      <c r="AQ158" s="277">
        <f t="shared" si="44"/>
        <v>2028.5</v>
      </c>
      <c r="AR158" s="278">
        <f t="shared" si="45"/>
        <v>117.54166666666667</v>
      </c>
      <c r="AS158" s="279">
        <f t="shared" si="46"/>
        <v>1410.5</v>
      </c>
      <c r="AT158" s="279">
        <f t="shared" si="47"/>
        <v>1410.5</v>
      </c>
      <c r="AU158" s="279">
        <f t="shared" si="48"/>
        <v>2468.375</v>
      </c>
      <c r="AV158" s="279">
        <f t="shared" si="49"/>
        <v>3878.875</v>
      </c>
      <c r="AW158" s="280">
        <f t="shared" si="50"/>
        <v>5994.625</v>
      </c>
      <c r="AX158" s="281" t="s">
        <v>77</v>
      </c>
    </row>
    <row r="159" spans="2:50">
      <c r="B159" s="157">
        <v>2149</v>
      </c>
      <c r="C159" s="158">
        <v>252418</v>
      </c>
      <c r="D159" s="157" t="s">
        <v>433</v>
      </c>
      <c r="E159" s="159" t="s">
        <v>1626</v>
      </c>
      <c r="F159" s="160" t="s">
        <v>1391</v>
      </c>
      <c r="G159" s="160"/>
      <c r="H159" s="160"/>
      <c r="I159" s="157">
        <v>1</v>
      </c>
      <c r="J159" s="159" t="s">
        <v>1390</v>
      </c>
      <c r="K159" s="157">
        <v>2001</v>
      </c>
      <c r="L159" s="159" t="s">
        <v>671</v>
      </c>
      <c r="M159" s="159" t="s">
        <v>1586</v>
      </c>
      <c r="N159" s="159" t="s">
        <v>1788</v>
      </c>
      <c r="O159" s="159" t="s">
        <v>1789</v>
      </c>
      <c r="P159" s="159" t="s">
        <v>758</v>
      </c>
      <c r="Q159" s="159"/>
      <c r="R159" s="159"/>
      <c r="S159" s="161">
        <v>39755</v>
      </c>
      <c r="T159" s="161">
        <v>39755</v>
      </c>
      <c r="U159" s="159"/>
      <c r="V159" s="157">
        <v>300</v>
      </c>
      <c r="W159" s="157">
        <v>14040</v>
      </c>
      <c r="X159" s="162">
        <v>8500</v>
      </c>
      <c r="Y159" s="157">
        <v>14046</v>
      </c>
      <c r="Z159" s="162">
        <v>8500</v>
      </c>
      <c r="AA159" s="162">
        <v>0</v>
      </c>
      <c r="AB159" s="162">
        <v>0</v>
      </c>
      <c r="AC159" s="157">
        <v>51260</v>
      </c>
      <c r="AD159" s="162">
        <v>0</v>
      </c>
      <c r="AE159" s="157" t="s">
        <v>663</v>
      </c>
      <c r="AF159" s="159" t="s">
        <v>905</v>
      </c>
      <c r="AG159" s="159">
        <v>5041</v>
      </c>
      <c r="AH159" s="159" t="s">
        <v>2</v>
      </c>
      <c r="AI159" s="159" t="s">
        <v>1785</v>
      </c>
      <c r="AJ159" s="159" t="s">
        <v>1787</v>
      </c>
      <c r="AK159" s="159">
        <v>0</v>
      </c>
      <c r="AL159" s="159" t="s">
        <v>22</v>
      </c>
      <c r="AM159" s="159" t="s">
        <v>22</v>
      </c>
      <c r="AN159" s="275">
        <f t="shared" si="41"/>
        <v>11</v>
      </c>
      <c r="AO159" s="275">
        <f t="shared" si="42"/>
        <v>2008</v>
      </c>
      <c r="AP159" s="276">
        <f t="shared" si="43"/>
        <v>2011</v>
      </c>
      <c r="AQ159" s="277">
        <f t="shared" si="44"/>
        <v>2011.9166666666667</v>
      </c>
      <c r="AR159" s="278">
        <f t="shared" si="45"/>
        <v>236.11111111111111</v>
      </c>
      <c r="AS159" s="279">
        <f t="shared" si="46"/>
        <v>2833.3333333333335</v>
      </c>
      <c r="AT159" s="279">
        <f t="shared" si="47"/>
        <v>0</v>
      </c>
      <c r="AU159" s="279">
        <f t="shared" si="48"/>
        <v>8500</v>
      </c>
      <c r="AV159" s="279">
        <f t="shared" si="49"/>
        <v>8500</v>
      </c>
      <c r="AW159" s="280">
        <f t="shared" si="50"/>
        <v>0</v>
      </c>
      <c r="AX159" s="281" t="s">
        <v>77</v>
      </c>
    </row>
    <row r="160" spans="2:50">
      <c r="B160" s="157">
        <v>2149</v>
      </c>
      <c r="C160" s="158">
        <v>252130</v>
      </c>
      <c r="D160" s="157" t="s">
        <v>433</v>
      </c>
      <c r="E160" s="159" t="s">
        <v>1626</v>
      </c>
      <c r="F160" s="160" t="s">
        <v>1389</v>
      </c>
      <c r="G160" s="160"/>
      <c r="H160" s="160"/>
      <c r="I160" s="157">
        <v>100</v>
      </c>
      <c r="J160" s="159"/>
      <c r="K160" s="157">
        <v>0</v>
      </c>
      <c r="L160" s="159" t="s">
        <v>1199</v>
      </c>
      <c r="M160" s="159"/>
      <c r="N160" s="159" t="s">
        <v>646</v>
      </c>
      <c r="O160" s="159" t="s">
        <v>1789</v>
      </c>
      <c r="P160" s="159"/>
      <c r="Q160" s="159"/>
      <c r="R160" s="159"/>
      <c r="S160" s="161">
        <v>44326</v>
      </c>
      <c r="T160" s="161">
        <v>44326</v>
      </c>
      <c r="U160" s="159" t="s">
        <v>1388</v>
      </c>
      <c r="V160" s="157">
        <v>700</v>
      </c>
      <c r="W160" s="157">
        <v>14050</v>
      </c>
      <c r="X160" s="162">
        <v>5951.67</v>
      </c>
      <c r="Y160" s="157">
        <v>14056</v>
      </c>
      <c r="Z160" s="162">
        <v>2550.71</v>
      </c>
      <c r="AA160" s="162">
        <v>3400.96</v>
      </c>
      <c r="AB160" s="162">
        <v>283.39999999999998</v>
      </c>
      <c r="AC160" s="157">
        <v>54260</v>
      </c>
      <c r="AD160" s="162">
        <v>70.849999999999994</v>
      </c>
      <c r="AE160" s="157" t="s">
        <v>433</v>
      </c>
      <c r="AF160" s="159"/>
      <c r="AG160" s="159"/>
      <c r="AH160" s="159" t="s">
        <v>2</v>
      </c>
      <c r="AI160" s="159" t="s">
        <v>1785</v>
      </c>
      <c r="AJ160" s="159" t="s">
        <v>1787</v>
      </c>
      <c r="AK160" s="159">
        <v>0</v>
      </c>
      <c r="AL160" s="159" t="s">
        <v>573</v>
      </c>
      <c r="AM160" s="159" t="s">
        <v>573</v>
      </c>
      <c r="AN160" s="275">
        <f t="shared" si="41"/>
        <v>5</v>
      </c>
      <c r="AO160" s="275">
        <f t="shared" si="42"/>
        <v>2021</v>
      </c>
      <c r="AP160" s="276">
        <f t="shared" si="43"/>
        <v>2028</v>
      </c>
      <c r="AQ160" s="277">
        <f t="shared" si="44"/>
        <v>2028.4166666666667</v>
      </c>
      <c r="AR160" s="278">
        <f t="shared" si="45"/>
        <v>70.853214285714287</v>
      </c>
      <c r="AS160" s="279">
        <f t="shared" si="46"/>
        <v>850.2385714285715</v>
      </c>
      <c r="AT160" s="279">
        <f t="shared" si="47"/>
        <v>850.2385714285715</v>
      </c>
      <c r="AU160" s="279">
        <f t="shared" si="48"/>
        <v>1558.7707142856498</v>
      </c>
      <c r="AV160" s="279">
        <f t="shared" si="49"/>
        <v>2409.0092857142213</v>
      </c>
      <c r="AW160" s="280">
        <f t="shared" si="50"/>
        <v>3542.6607142857788</v>
      </c>
      <c r="AX160" s="281" t="s">
        <v>77</v>
      </c>
    </row>
    <row r="161" spans="2:50">
      <c r="B161" s="157">
        <v>2149</v>
      </c>
      <c r="C161" s="158">
        <v>250959</v>
      </c>
      <c r="D161" s="157" t="s">
        <v>433</v>
      </c>
      <c r="E161" s="159" t="s">
        <v>1626</v>
      </c>
      <c r="F161" s="160" t="s">
        <v>1387</v>
      </c>
      <c r="G161" s="160"/>
      <c r="H161" s="160"/>
      <c r="I161" s="157">
        <v>2</v>
      </c>
      <c r="J161" s="159"/>
      <c r="K161" s="157">
        <v>0</v>
      </c>
      <c r="L161" s="159" t="s">
        <v>1241</v>
      </c>
      <c r="M161" s="159"/>
      <c r="N161" s="159" t="s">
        <v>646</v>
      </c>
      <c r="O161" s="159" t="s">
        <v>1789</v>
      </c>
      <c r="P161" s="159"/>
      <c r="Q161" s="159" t="s">
        <v>1796</v>
      </c>
      <c r="R161" s="159" t="s">
        <v>1794</v>
      </c>
      <c r="S161" s="161">
        <v>44298</v>
      </c>
      <c r="T161" s="161">
        <v>44298</v>
      </c>
      <c r="U161" s="159" t="s">
        <v>1385</v>
      </c>
      <c r="V161" s="157">
        <v>1200</v>
      </c>
      <c r="W161" s="157">
        <v>14050</v>
      </c>
      <c r="X161" s="162">
        <v>13600</v>
      </c>
      <c r="Y161" s="157">
        <v>14056</v>
      </c>
      <c r="Z161" s="162">
        <v>3494.42</v>
      </c>
      <c r="AA161" s="162">
        <v>10105.58</v>
      </c>
      <c r="AB161" s="162">
        <v>377.76</v>
      </c>
      <c r="AC161" s="157">
        <v>54260</v>
      </c>
      <c r="AD161" s="162">
        <v>94.44</v>
      </c>
      <c r="AE161" s="157" t="s">
        <v>433</v>
      </c>
      <c r="AF161" s="159"/>
      <c r="AG161" s="159"/>
      <c r="AH161" s="159" t="s">
        <v>2</v>
      </c>
      <c r="AI161" s="159" t="s">
        <v>1785</v>
      </c>
      <c r="AJ161" s="159" t="s">
        <v>1787</v>
      </c>
      <c r="AK161" s="159">
        <v>0</v>
      </c>
      <c r="AL161" s="159" t="s">
        <v>17</v>
      </c>
      <c r="AM161" s="159" t="s">
        <v>17</v>
      </c>
      <c r="AN161" s="275">
        <f t="shared" si="41"/>
        <v>4</v>
      </c>
      <c r="AO161" s="275">
        <f t="shared" si="42"/>
        <v>2021</v>
      </c>
      <c r="AP161" s="276">
        <f t="shared" si="43"/>
        <v>2033</v>
      </c>
      <c r="AQ161" s="277">
        <f t="shared" si="44"/>
        <v>2033.3333333333333</v>
      </c>
      <c r="AR161" s="278">
        <f t="shared" si="45"/>
        <v>94.444444444444443</v>
      </c>
      <c r="AS161" s="279">
        <f t="shared" si="46"/>
        <v>1133.3333333333333</v>
      </c>
      <c r="AT161" s="279">
        <f t="shared" si="47"/>
        <v>1133.3333333333333</v>
      </c>
      <c r="AU161" s="279">
        <f t="shared" si="48"/>
        <v>2172.2222222223081</v>
      </c>
      <c r="AV161" s="279">
        <f t="shared" si="49"/>
        <v>3305.5555555556411</v>
      </c>
      <c r="AW161" s="280">
        <f t="shared" si="50"/>
        <v>10294.444444444358</v>
      </c>
      <c r="AX161" s="281" t="s">
        <v>77</v>
      </c>
    </row>
    <row r="162" spans="2:50">
      <c r="B162" s="157">
        <v>2149</v>
      </c>
      <c r="C162" s="158">
        <v>250958</v>
      </c>
      <c r="D162" s="157" t="s">
        <v>433</v>
      </c>
      <c r="E162" s="159" t="s">
        <v>1626</v>
      </c>
      <c r="F162" s="160" t="s">
        <v>1386</v>
      </c>
      <c r="G162" s="160"/>
      <c r="H162" s="160"/>
      <c r="I162" s="157">
        <v>40</v>
      </c>
      <c r="J162" s="159"/>
      <c r="K162" s="157">
        <v>0</v>
      </c>
      <c r="L162" s="159" t="s">
        <v>1241</v>
      </c>
      <c r="M162" s="159"/>
      <c r="N162" s="159" t="s">
        <v>646</v>
      </c>
      <c r="O162" s="159" t="s">
        <v>1789</v>
      </c>
      <c r="P162" s="159"/>
      <c r="Q162" s="159" t="s">
        <v>1792</v>
      </c>
      <c r="R162" s="159" t="s">
        <v>1791</v>
      </c>
      <c r="S162" s="161">
        <v>44298</v>
      </c>
      <c r="T162" s="161">
        <v>44298</v>
      </c>
      <c r="U162" s="159" t="s">
        <v>1385</v>
      </c>
      <c r="V162" s="157">
        <v>1200</v>
      </c>
      <c r="W162" s="157">
        <v>14050</v>
      </c>
      <c r="X162" s="162">
        <v>27800</v>
      </c>
      <c r="Y162" s="157">
        <v>14056</v>
      </c>
      <c r="Z162" s="162">
        <v>7143.08</v>
      </c>
      <c r="AA162" s="162">
        <v>20656.919999999998</v>
      </c>
      <c r="AB162" s="162">
        <v>772.24</v>
      </c>
      <c r="AC162" s="157">
        <v>54260</v>
      </c>
      <c r="AD162" s="162">
        <v>193.06</v>
      </c>
      <c r="AE162" s="157" t="s">
        <v>433</v>
      </c>
      <c r="AF162" s="159"/>
      <c r="AG162" s="159"/>
      <c r="AH162" s="159" t="s">
        <v>2</v>
      </c>
      <c r="AI162" s="159" t="s">
        <v>1785</v>
      </c>
      <c r="AJ162" s="159" t="s">
        <v>1787</v>
      </c>
      <c r="AK162" s="159">
        <v>0</v>
      </c>
      <c r="AL162" s="159" t="s">
        <v>16</v>
      </c>
      <c r="AM162" s="159" t="s">
        <v>16</v>
      </c>
      <c r="AN162" s="275">
        <f t="shared" si="41"/>
        <v>4</v>
      </c>
      <c r="AO162" s="275">
        <f t="shared" si="42"/>
        <v>2021</v>
      </c>
      <c r="AP162" s="276">
        <f t="shared" si="43"/>
        <v>2033</v>
      </c>
      <c r="AQ162" s="277">
        <f t="shared" si="44"/>
        <v>2033.3333333333333</v>
      </c>
      <c r="AR162" s="278">
        <f t="shared" si="45"/>
        <v>193.05555555555554</v>
      </c>
      <c r="AS162" s="279">
        <f t="shared" si="46"/>
        <v>2316.6666666666665</v>
      </c>
      <c r="AT162" s="279">
        <f t="shared" si="47"/>
        <v>2316.6666666666665</v>
      </c>
      <c r="AU162" s="279">
        <f t="shared" si="48"/>
        <v>4440.2777777779556</v>
      </c>
      <c r="AV162" s="279">
        <f t="shared" si="49"/>
        <v>6756.9444444446217</v>
      </c>
      <c r="AW162" s="280">
        <f t="shared" si="50"/>
        <v>21043.05555555538</v>
      </c>
      <c r="AX162" s="281" t="s">
        <v>77</v>
      </c>
    </row>
    <row r="163" spans="2:50">
      <c r="B163" s="157">
        <v>2149</v>
      </c>
      <c r="C163" s="158">
        <v>250271</v>
      </c>
      <c r="D163" s="157" t="s">
        <v>433</v>
      </c>
      <c r="E163" s="159" t="s">
        <v>1626</v>
      </c>
      <c r="F163" s="160" t="s">
        <v>1369</v>
      </c>
      <c r="G163" s="160"/>
      <c r="H163" s="160"/>
      <c r="I163" s="157">
        <v>112</v>
      </c>
      <c r="J163" s="159"/>
      <c r="K163" s="157">
        <v>0</v>
      </c>
      <c r="L163" s="159" t="s">
        <v>1368</v>
      </c>
      <c r="M163" s="159"/>
      <c r="N163" s="159" t="s">
        <v>646</v>
      </c>
      <c r="O163" s="159" t="s">
        <v>1789</v>
      </c>
      <c r="P163" s="159"/>
      <c r="Q163" s="159"/>
      <c r="R163" s="159"/>
      <c r="S163" s="161">
        <v>44286</v>
      </c>
      <c r="T163" s="161">
        <v>44286</v>
      </c>
      <c r="U163" s="159" t="s">
        <v>1384</v>
      </c>
      <c r="V163" s="157">
        <v>700</v>
      </c>
      <c r="W163" s="157">
        <v>14050</v>
      </c>
      <c r="X163" s="162">
        <v>5263.03</v>
      </c>
      <c r="Y163" s="157">
        <v>14056</v>
      </c>
      <c r="Z163" s="162">
        <v>2318.2600000000002</v>
      </c>
      <c r="AA163" s="162">
        <v>2944.7699999999995</v>
      </c>
      <c r="AB163" s="162">
        <v>250.64</v>
      </c>
      <c r="AC163" s="157">
        <v>54260</v>
      </c>
      <c r="AD163" s="162">
        <v>62.66</v>
      </c>
      <c r="AE163" s="157" t="s">
        <v>433</v>
      </c>
      <c r="AF163" s="159"/>
      <c r="AG163" s="159"/>
      <c r="AH163" s="159" t="s">
        <v>2</v>
      </c>
      <c r="AI163" s="159" t="s">
        <v>1785</v>
      </c>
      <c r="AJ163" s="159" t="s">
        <v>1787</v>
      </c>
      <c r="AK163" s="159">
        <v>0</v>
      </c>
      <c r="AL163" s="159" t="s">
        <v>573</v>
      </c>
      <c r="AM163" s="159" t="s">
        <v>573</v>
      </c>
      <c r="AN163" s="275">
        <f t="shared" si="41"/>
        <v>3</v>
      </c>
      <c r="AO163" s="275">
        <f t="shared" si="42"/>
        <v>2021</v>
      </c>
      <c r="AP163" s="276">
        <f t="shared" si="43"/>
        <v>2028</v>
      </c>
      <c r="AQ163" s="277">
        <f t="shared" si="44"/>
        <v>2028.25</v>
      </c>
      <c r="AR163" s="278">
        <f t="shared" si="45"/>
        <v>62.655119047619046</v>
      </c>
      <c r="AS163" s="279">
        <f t="shared" si="46"/>
        <v>751.86142857142852</v>
      </c>
      <c r="AT163" s="279">
        <f t="shared" si="47"/>
        <v>751.86142857142852</v>
      </c>
      <c r="AU163" s="279">
        <f t="shared" si="48"/>
        <v>1503.7228571428568</v>
      </c>
      <c r="AV163" s="279">
        <f t="shared" si="49"/>
        <v>2255.5842857142852</v>
      </c>
      <c r="AW163" s="280">
        <f t="shared" si="50"/>
        <v>3007.4457142857145</v>
      </c>
      <c r="AX163" s="281" t="s">
        <v>77</v>
      </c>
    </row>
    <row r="164" spans="2:50">
      <c r="B164" s="157">
        <v>2149</v>
      </c>
      <c r="C164" s="158">
        <v>250270</v>
      </c>
      <c r="D164" s="157" t="s">
        <v>433</v>
      </c>
      <c r="E164" s="159" t="s">
        <v>1626</v>
      </c>
      <c r="F164" s="160" t="s">
        <v>457</v>
      </c>
      <c r="G164" s="160"/>
      <c r="H164" s="160"/>
      <c r="I164" s="157">
        <v>200</v>
      </c>
      <c r="J164" s="159"/>
      <c r="K164" s="157">
        <v>0</v>
      </c>
      <c r="L164" s="159" t="s">
        <v>1368</v>
      </c>
      <c r="M164" s="159"/>
      <c r="N164" s="159" t="s">
        <v>646</v>
      </c>
      <c r="O164" s="159" t="s">
        <v>1789</v>
      </c>
      <c r="P164" s="159"/>
      <c r="Q164" s="159"/>
      <c r="R164" s="159"/>
      <c r="S164" s="161">
        <v>44286</v>
      </c>
      <c r="T164" s="161">
        <v>44286</v>
      </c>
      <c r="U164" s="159" t="s">
        <v>1384</v>
      </c>
      <c r="V164" s="157">
        <v>700</v>
      </c>
      <c r="W164" s="157">
        <v>14050</v>
      </c>
      <c r="X164" s="162">
        <v>10433.36</v>
      </c>
      <c r="Y164" s="157">
        <v>14056</v>
      </c>
      <c r="Z164" s="162">
        <v>4595.66</v>
      </c>
      <c r="AA164" s="162">
        <v>5837.7000000000007</v>
      </c>
      <c r="AB164" s="162">
        <v>496.84</v>
      </c>
      <c r="AC164" s="157">
        <v>54260</v>
      </c>
      <c r="AD164" s="162">
        <v>124.21</v>
      </c>
      <c r="AE164" s="157" t="s">
        <v>433</v>
      </c>
      <c r="AF164" s="159"/>
      <c r="AG164" s="159"/>
      <c r="AH164" s="159" t="s">
        <v>2</v>
      </c>
      <c r="AI164" s="159" t="s">
        <v>1785</v>
      </c>
      <c r="AJ164" s="159" t="s">
        <v>1787</v>
      </c>
      <c r="AK164" s="159">
        <v>0</v>
      </c>
      <c r="AL164" s="159" t="s">
        <v>573</v>
      </c>
      <c r="AM164" s="159" t="s">
        <v>573</v>
      </c>
      <c r="AN164" s="275">
        <f t="shared" si="41"/>
        <v>3</v>
      </c>
      <c r="AO164" s="275">
        <f t="shared" si="42"/>
        <v>2021</v>
      </c>
      <c r="AP164" s="276">
        <f t="shared" si="43"/>
        <v>2028</v>
      </c>
      <c r="AQ164" s="277">
        <f t="shared" si="44"/>
        <v>2028.25</v>
      </c>
      <c r="AR164" s="278">
        <f t="shared" si="45"/>
        <v>124.20666666666666</v>
      </c>
      <c r="AS164" s="279">
        <f t="shared" si="46"/>
        <v>1490.48</v>
      </c>
      <c r="AT164" s="279">
        <f t="shared" si="47"/>
        <v>1490.48</v>
      </c>
      <c r="AU164" s="279">
        <f t="shared" si="48"/>
        <v>2980.9600000000009</v>
      </c>
      <c r="AV164" s="279">
        <f t="shared" si="49"/>
        <v>4471.4400000000005</v>
      </c>
      <c r="AW164" s="280">
        <f t="shared" si="50"/>
        <v>5961.92</v>
      </c>
      <c r="AX164" s="281" t="s">
        <v>77</v>
      </c>
    </row>
    <row r="165" spans="2:50">
      <c r="B165" s="157">
        <v>2149</v>
      </c>
      <c r="C165" s="158">
        <v>250269</v>
      </c>
      <c r="D165" s="157" t="s">
        <v>433</v>
      </c>
      <c r="E165" s="159" t="s">
        <v>1626</v>
      </c>
      <c r="F165" s="160" t="s">
        <v>465</v>
      </c>
      <c r="G165" s="160"/>
      <c r="H165" s="160"/>
      <c r="I165" s="157">
        <v>224</v>
      </c>
      <c r="J165" s="159"/>
      <c r="K165" s="157">
        <v>0</v>
      </c>
      <c r="L165" s="159" t="s">
        <v>1368</v>
      </c>
      <c r="M165" s="159"/>
      <c r="N165" s="159" t="s">
        <v>646</v>
      </c>
      <c r="O165" s="159" t="s">
        <v>1789</v>
      </c>
      <c r="P165" s="159"/>
      <c r="Q165" s="159"/>
      <c r="R165" s="159"/>
      <c r="S165" s="161">
        <v>44286</v>
      </c>
      <c r="T165" s="161">
        <v>44286</v>
      </c>
      <c r="U165" s="159" t="s">
        <v>1384</v>
      </c>
      <c r="V165" s="157">
        <v>700</v>
      </c>
      <c r="W165" s="157">
        <v>14050</v>
      </c>
      <c r="X165" s="162">
        <v>11685.36</v>
      </c>
      <c r="Y165" s="157">
        <v>14056</v>
      </c>
      <c r="Z165" s="162">
        <v>5147.08</v>
      </c>
      <c r="AA165" s="162">
        <v>6538.2800000000007</v>
      </c>
      <c r="AB165" s="162">
        <v>556.44000000000005</v>
      </c>
      <c r="AC165" s="157">
        <v>54260</v>
      </c>
      <c r="AD165" s="162">
        <v>139.11000000000001</v>
      </c>
      <c r="AE165" s="157" t="s">
        <v>433</v>
      </c>
      <c r="AF165" s="159"/>
      <c r="AG165" s="159"/>
      <c r="AH165" s="159" t="s">
        <v>2</v>
      </c>
      <c r="AI165" s="159" t="s">
        <v>1785</v>
      </c>
      <c r="AJ165" s="159" t="s">
        <v>1787</v>
      </c>
      <c r="AK165" s="159">
        <v>0</v>
      </c>
      <c r="AL165" s="159" t="s">
        <v>18</v>
      </c>
      <c r="AM165" s="159" t="s">
        <v>18</v>
      </c>
      <c r="AN165" s="275">
        <f t="shared" si="41"/>
        <v>3</v>
      </c>
      <c r="AO165" s="275">
        <f t="shared" si="42"/>
        <v>2021</v>
      </c>
      <c r="AP165" s="276">
        <f t="shared" si="43"/>
        <v>2028</v>
      </c>
      <c r="AQ165" s="277">
        <f t="shared" si="44"/>
        <v>2028.25</v>
      </c>
      <c r="AR165" s="278">
        <f t="shared" si="45"/>
        <v>139.11142857142858</v>
      </c>
      <c r="AS165" s="279">
        <f t="shared" si="46"/>
        <v>1669.3371428571429</v>
      </c>
      <c r="AT165" s="279">
        <f t="shared" si="47"/>
        <v>1669.3371428571429</v>
      </c>
      <c r="AU165" s="279">
        <f t="shared" si="48"/>
        <v>3338.6742857142854</v>
      </c>
      <c r="AV165" s="279">
        <f t="shared" si="49"/>
        <v>5008.011428571428</v>
      </c>
      <c r="AW165" s="280">
        <f t="shared" si="50"/>
        <v>6677.3485714285725</v>
      </c>
      <c r="AX165" s="281" t="s">
        <v>77</v>
      </c>
    </row>
    <row r="166" spans="2:50">
      <c r="B166" s="157">
        <v>2149</v>
      </c>
      <c r="C166" s="158">
        <v>249921</v>
      </c>
      <c r="D166" s="157" t="s">
        <v>433</v>
      </c>
      <c r="E166" s="159" t="s">
        <v>1626</v>
      </c>
      <c r="F166" s="160" t="s">
        <v>1383</v>
      </c>
      <c r="G166" s="160"/>
      <c r="H166" s="160"/>
      <c r="I166" s="157">
        <v>1</v>
      </c>
      <c r="J166" s="159"/>
      <c r="K166" s="157">
        <v>0</v>
      </c>
      <c r="L166" s="159"/>
      <c r="M166" s="159"/>
      <c r="N166" s="159" t="s">
        <v>1822</v>
      </c>
      <c r="O166" s="159" t="s">
        <v>1789</v>
      </c>
      <c r="P166" s="159"/>
      <c r="Q166" s="159"/>
      <c r="R166" s="159"/>
      <c r="S166" s="161">
        <v>44299</v>
      </c>
      <c r="T166" s="161">
        <v>44299</v>
      </c>
      <c r="U166" s="159" t="s">
        <v>1382</v>
      </c>
      <c r="V166" s="157">
        <v>1000</v>
      </c>
      <c r="W166" s="157">
        <v>14010</v>
      </c>
      <c r="X166" s="162">
        <v>23360.05</v>
      </c>
      <c r="Y166" s="157">
        <v>14016</v>
      </c>
      <c r="Z166" s="162">
        <v>7202.7</v>
      </c>
      <c r="AA166" s="162">
        <v>16157.349999999999</v>
      </c>
      <c r="AB166" s="162">
        <v>778.68</v>
      </c>
      <c r="AC166" s="157">
        <v>57260</v>
      </c>
      <c r="AD166" s="162">
        <v>194.67</v>
      </c>
      <c r="AE166" s="157" t="s">
        <v>433</v>
      </c>
      <c r="AF166" s="159"/>
      <c r="AG166" s="159"/>
      <c r="AH166" s="159" t="s">
        <v>2</v>
      </c>
      <c r="AI166" s="159" t="s">
        <v>1785</v>
      </c>
      <c r="AJ166" s="159" t="s">
        <v>1787</v>
      </c>
      <c r="AK166" s="159">
        <v>0</v>
      </c>
      <c r="AL166" s="159" t="s">
        <v>22</v>
      </c>
      <c r="AM166" s="159" t="s">
        <v>22</v>
      </c>
      <c r="AN166" s="275">
        <f t="shared" si="41"/>
        <v>4</v>
      </c>
      <c r="AO166" s="275">
        <f t="shared" si="42"/>
        <v>2021</v>
      </c>
      <c r="AP166" s="276">
        <f t="shared" si="43"/>
        <v>2031</v>
      </c>
      <c r="AQ166" s="277">
        <f t="shared" si="44"/>
        <v>2031.3333333333333</v>
      </c>
      <c r="AR166" s="278">
        <f t="shared" si="45"/>
        <v>194.66708333333335</v>
      </c>
      <c r="AS166" s="279">
        <f t="shared" si="46"/>
        <v>2336.0050000000001</v>
      </c>
      <c r="AT166" s="279">
        <f t="shared" si="47"/>
        <v>2336.0050000000001</v>
      </c>
      <c r="AU166" s="279">
        <f t="shared" si="48"/>
        <v>4477.3429166668429</v>
      </c>
      <c r="AV166" s="279">
        <f t="shared" si="49"/>
        <v>6813.347916666843</v>
      </c>
      <c r="AW166" s="280">
        <f t="shared" si="50"/>
        <v>16546.702083333155</v>
      </c>
      <c r="AX166" s="281" t="s">
        <v>77</v>
      </c>
    </row>
    <row r="167" spans="2:50">
      <c r="B167" s="157">
        <v>2149</v>
      </c>
      <c r="C167" s="158">
        <v>247659</v>
      </c>
      <c r="D167" s="157" t="s">
        <v>433</v>
      </c>
      <c r="E167" s="159" t="s">
        <v>1626</v>
      </c>
      <c r="F167" s="160" t="s">
        <v>1381</v>
      </c>
      <c r="G167" s="160"/>
      <c r="H167" s="160"/>
      <c r="I167" s="157">
        <v>2</v>
      </c>
      <c r="J167" s="159"/>
      <c r="K167" s="157">
        <v>0</v>
      </c>
      <c r="L167" s="159" t="s">
        <v>1373</v>
      </c>
      <c r="M167" s="159"/>
      <c r="N167" s="159" t="s">
        <v>1801</v>
      </c>
      <c r="O167" s="159" t="s">
        <v>1789</v>
      </c>
      <c r="P167" s="159"/>
      <c r="Q167" s="159"/>
      <c r="R167" s="159"/>
      <c r="S167" s="161">
        <v>44224</v>
      </c>
      <c r="T167" s="161">
        <v>44224</v>
      </c>
      <c r="U167" s="159" t="s">
        <v>1380</v>
      </c>
      <c r="V167" s="157">
        <v>500</v>
      </c>
      <c r="W167" s="157">
        <v>14070</v>
      </c>
      <c r="X167" s="162">
        <v>737.8</v>
      </c>
      <c r="Y167" s="157">
        <v>14076</v>
      </c>
      <c r="Z167" s="162">
        <v>479.58</v>
      </c>
      <c r="AA167" s="162">
        <v>258.21999999999997</v>
      </c>
      <c r="AB167" s="162">
        <v>49.2</v>
      </c>
      <c r="AC167" s="157">
        <v>51260</v>
      </c>
      <c r="AD167" s="162">
        <v>12.3</v>
      </c>
      <c r="AE167" s="157" t="s">
        <v>433</v>
      </c>
      <c r="AF167" s="159"/>
      <c r="AG167" s="159"/>
      <c r="AH167" s="159" t="s">
        <v>2</v>
      </c>
      <c r="AI167" s="159" t="s">
        <v>1785</v>
      </c>
      <c r="AJ167" s="159" t="s">
        <v>1787</v>
      </c>
      <c r="AK167" s="159">
        <v>0</v>
      </c>
      <c r="AL167" s="159" t="s">
        <v>22</v>
      </c>
      <c r="AM167" s="159" t="s">
        <v>22</v>
      </c>
      <c r="AN167" s="275">
        <f t="shared" si="41"/>
        <v>1</v>
      </c>
      <c r="AO167" s="275">
        <f t="shared" si="42"/>
        <v>2021</v>
      </c>
      <c r="AP167" s="276">
        <f t="shared" si="43"/>
        <v>2026</v>
      </c>
      <c r="AQ167" s="277">
        <f t="shared" si="44"/>
        <v>2026.0833333333333</v>
      </c>
      <c r="AR167" s="278">
        <f t="shared" si="45"/>
        <v>12.296666666666667</v>
      </c>
      <c r="AS167" s="279">
        <f t="shared" si="46"/>
        <v>147.56</v>
      </c>
      <c r="AT167" s="279">
        <f t="shared" si="47"/>
        <v>147.56</v>
      </c>
      <c r="AU167" s="279">
        <f t="shared" si="48"/>
        <v>319.71333333334445</v>
      </c>
      <c r="AV167" s="279">
        <f t="shared" si="49"/>
        <v>467.27333333334445</v>
      </c>
      <c r="AW167" s="280">
        <f t="shared" si="50"/>
        <v>270.5266666666555</v>
      </c>
      <c r="AX167" s="281" t="s">
        <v>77</v>
      </c>
    </row>
    <row r="168" spans="2:50">
      <c r="B168" s="122">
        <v>2149</v>
      </c>
      <c r="C168" s="132">
        <v>243665</v>
      </c>
      <c r="D168" s="122" t="s">
        <v>433</v>
      </c>
      <c r="E168" s="92" t="s">
        <v>1626</v>
      </c>
      <c r="F168" t="s">
        <v>643</v>
      </c>
      <c r="I168" s="122">
        <v>1</v>
      </c>
      <c r="J168" s="92" t="s">
        <v>611</v>
      </c>
      <c r="K168" s="122">
        <v>2021</v>
      </c>
      <c r="L168" s="92" t="s">
        <v>1146</v>
      </c>
      <c r="M168" s="92" t="s">
        <v>854</v>
      </c>
      <c r="N168" s="92" t="s">
        <v>1788</v>
      </c>
      <c r="O168" s="92" t="s">
        <v>1789</v>
      </c>
      <c r="P168" s="92" t="s">
        <v>1814</v>
      </c>
      <c r="Q168" s="92"/>
      <c r="R168" s="92"/>
      <c r="S168" s="133">
        <v>44174</v>
      </c>
      <c r="T168" s="133">
        <v>44174</v>
      </c>
      <c r="U168" s="92" t="s">
        <v>1379</v>
      </c>
      <c r="V168" s="122">
        <v>1000</v>
      </c>
      <c r="W168" s="122">
        <v>14040</v>
      </c>
      <c r="X168" s="113">
        <v>365317.55</v>
      </c>
      <c r="Y168" s="122">
        <v>14046</v>
      </c>
      <c r="Z168" s="113">
        <v>124816.83</v>
      </c>
      <c r="AA168" s="113">
        <v>240500.71999999997</v>
      </c>
      <c r="AB168" s="113">
        <v>12177.24</v>
      </c>
      <c r="AC168" s="122">
        <v>51260</v>
      </c>
      <c r="AD168" s="113">
        <v>3044.31</v>
      </c>
      <c r="AE168" s="122" t="s">
        <v>433</v>
      </c>
      <c r="AF168" s="92"/>
      <c r="AG168" s="92">
        <v>48</v>
      </c>
      <c r="AH168" s="92" t="s">
        <v>2</v>
      </c>
      <c r="AI168" s="92" t="s">
        <v>1785</v>
      </c>
      <c r="AJ168" s="92" t="s">
        <v>1787</v>
      </c>
      <c r="AK168" s="92" t="s">
        <v>1779</v>
      </c>
      <c r="AL168" s="92">
        <v>0</v>
      </c>
      <c r="AM168" s="92">
        <v>0</v>
      </c>
    </row>
    <row r="169" spans="2:50">
      <c r="B169" s="122">
        <v>2149</v>
      </c>
      <c r="C169" s="132">
        <v>243342</v>
      </c>
      <c r="D169" s="122" t="s">
        <v>433</v>
      </c>
      <c r="E169" s="92" t="s">
        <v>1626</v>
      </c>
      <c r="F169" t="s">
        <v>1378</v>
      </c>
      <c r="I169" s="122">
        <v>144</v>
      </c>
      <c r="J169" s="92"/>
      <c r="K169" s="122">
        <v>0</v>
      </c>
      <c r="L169" s="92" t="s">
        <v>1368</v>
      </c>
      <c r="M169" s="92"/>
      <c r="N169" s="92" t="s">
        <v>646</v>
      </c>
      <c r="O169" s="92" t="s">
        <v>1789</v>
      </c>
      <c r="P169" s="92"/>
      <c r="Q169" s="92"/>
      <c r="R169" s="92"/>
      <c r="S169" s="133">
        <v>44160</v>
      </c>
      <c r="T169" s="133">
        <v>44160</v>
      </c>
      <c r="U169" s="92" t="s">
        <v>1375</v>
      </c>
      <c r="V169" s="122">
        <v>700</v>
      </c>
      <c r="W169" s="122">
        <v>14050</v>
      </c>
      <c r="X169" s="113">
        <v>5709.01</v>
      </c>
      <c r="Y169" s="122">
        <v>14056</v>
      </c>
      <c r="Z169" s="113">
        <v>2786.52</v>
      </c>
      <c r="AA169" s="113">
        <v>2922.4900000000002</v>
      </c>
      <c r="AB169" s="113">
        <v>271.83999999999997</v>
      </c>
      <c r="AC169" s="122">
        <v>54260</v>
      </c>
      <c r="AD169" s="113">
        <v>67.959999999999994</v>
      </c>
      <c r="AE169" s="122" t="s">
        <v>433</v>
      </c>
      <c r="AF169" s="92"/>
      <c r="AG169" s="92"/>
      <c r="AH169" s="92" t="s">
        <v>2</v>
      </c>
      <c r="AI169" s="92" t="s">
        <v>1785</v>
      </c>
      <c r="AJ169" s="92" t="s">
        <v>1787</v>
      </c>
      <c r="AK169" s="92" t="s">
        <v>1779</v>
      </c>
      <c r="AL169" s="92">
        <v>0</v>
      </c>
      <c r="AM169" s="92">
        <v>0</v>
      </c>
    </row>
    <row r="170" spans="2:50">
      <c r="B170" s="122">
        <v>2149</v>
      </c>
      <c r="C170" s="132">
        <v>243341</v>
      </c>
      <c r="D170" s="122" t="s">
        <v>433</v>
      </c>
      <c r="E170" s="92" t="s">
        <v>1626</v>
      </c>
      <c r="F170" t="s">
        <v>1377</v>
      </c>
      <c r="I170" s="122">
        <v>120</v>
      </c>
      <c r="J170" s="92"/>
      <c r="K170" s="122">
        <v>0</v>
      </c>
      <c r="L170" s="92" t="s">
        <v>1368</v>
      </c>
      <c r="M170" s="92"/>
      <c r="N170" s="92" t="s">
        <v>646</v>
      </c>
      <c r="O170" s="92" t="s">
        <v>1789</v>
      </c>
      <c r="P170" s="92"/>
      <c r="Q170" s="92"/>
      <c r="R170" s="92"/>
      <c r="S170" s="133">
        <v>44160</v>
      </c>
      <c r="T170" s="133">
        <v>44160</v>
      </c>
      <c r="U170" s="92" t="s">
        <v>1375</v>
      </c>
      <c r="V170" s="122">
        <v>700</v>
      </c>
      <c r="W170" s="122">
        <v>14050</v>
      </c>
      <c r="X170" s="113">
        <v>5408.51</v>
      </c>
      <c r="Y170" s="122">
        <v>14056</v>
      </c>
      <c r="Z170" s="113">
        <v>2639.9</v>
      </c>
      <c r="AA170" s="113">
        <v>2768.61</v>
      </c>
      <c r="AB170" s="113">
        <v>257.56</v>
      </c>
      <c r="AC170" s="122">
        <v>54260</v>
      </c>
      <c r="AD170" s="113">
        <v>64.39</v>
      </c>
      <c r="AE170" s="122" t="s">
        <v>433</v>
      </c>
      <c r="AF170" s="92"/>
      <c r="AG170" s="92"/>
      <c r="AH170" s="92" t="s">
        <v>2</v>
      </c>
      <c r="AI170" s="92" t="s">
        <v>1785</v>
      </c>
      <c r="AJ170" s="92" t="s">
        <v>1787</v>
      </c>
      <c r="AK170" s="92" t="s">
        <v>1779</v>
      </c>
      <c r="AL170" s="92">
        <v>0</v>
      </c>
      <c r="AM170" s="92">
        <v>0</v>
      </c>
    </row>
    <row r="171" spans="2:50">
      <c r="B171" s="122">
        <v>2149</v>
      </c>
      <c r="C171" s="132">
        <v>243340</v>
      </c>
      <c r="D171" s="122" t="s">
        <v>433</v>
      </c>
      <c r="E171" s="92" t="s">
        <v>1626</v>
      </c>
      <c r="F171" t="s">
        <v>1376</v>
      </c>
      <c r="I171" s="122">
        <v>426</v>
      </c>
      <c r="J171" s="92"/>
      <c r="K171" s="122">
        <v>0</v>
      </c>
      <c r="L171" s="92" t="s">
        <v>1368</v>
      </c>
      <c r="M171" s="92"/>
      <c r="N171" s="92" t="s">
        <v>646</v>
      </c>
      <c r="O171" s="92" t="s">
        <v>1789</v>
      </c>
      <c r="P171" s="92"/>
      <c r="Q171" s="92"/>
      <c r="R171" s="92"/>
      <c r="S171" s="133">
        <v>44160</v>
      </c>
      <c r="T171" s="133">
        <v>44160</v>
      </c>
      <c r="U171" s="92" t="s">
        <v>1375</v>
      </c>
      <c r="V171" s="122">
        <v>700</v>
      </c>
      <c r="W171" s="122">
        <v>14050</v>
      </c>
      <c r="X171" s="113">
        <v>19200.2</v>
      </c>
      <c r="Y171" s="122">
        <v>14056</v>
      </c>
      <c r="Z171" s="113">
        <v>9371.52</v>
      </c>
      <c r="AA171" s="113">
        <v>9828.68</v>
      </c>
      <c r="AB171" s="113">
        <v>914.28</v>
      </c>
      <c r="AC171" s="122">
        <v>54260</v>
      </c>
      <c r="AD171" s="113">
        <v>228.57</v>
      </c>
      <c r="AE171" s="122" t="s">
        <v>433</v>
      </c>
      <c r="AF171" s="92"/>
      <c r="AG171" s="92"/>
      <c r="AH171" s="92" t="s">
        <v>2</v>
      </c>
      <c r="AI171" s="92" t="s">
        <v>1785</v>
      </c>
      <c r="AJ171" s="92" t="s">
        <v>1787</v>
      </c>
      <c r="AK171" s="92" t="s">
        <v>1779</v>
      </c>
      <c r="AL171" s="92">
        <v>0</v>
      </c>
      <c r="AM171" s="92">
        <v>0</v>
      </c>
    </row>
    <row r="172" spans="2:50">
      <c r="B172" s="122">
        <v>2149</v>
      </c>
      <c r="C172" s="132">
        <v>242794</v>
      </c>
      <c r="D172" s="122" t="s">
        <v>433</v>
      </c>
      <c r="E172" s="92" t="s">
        <v>1626</v>
      </c>
      <c r="F172" t="s">
        <v>575</v>
      </c>
      <c r="I172" s="122">
        <v>1</v>
      </c>
      <c r="J172" s="92"/>
      <c r="K172" s="122">
        <v>0</v>
      </c>
      <c r="L172" s="92"/>
      <c r="M172" s="92"/>
      <c r="N172" s="92" t="s">
        <v>1822</v>
      </c>
      <c r="O172" s="92" t="s">
        <v>1789</v>
      </c>
      <c r="P172" s="92"/>
      <c r="Q172" s="92"/>
      <c r="R172" s="92"/>
      <c r="S172" s="133">
        <v>44196</v>
      </c>
      <c r="T172" s="133">
        <v>44196</v>
      </c>
      <c r="U172" s="92" t="s">
        <v>1374</v>
      </c>
      <c r="V172" s="122">
        <v>1000</v>
      </c>
      <c r="W172" s="122">
        <v>14010</v>
      </c>
      <c r="X172" s="113">
        <v>74833.509999999995</v>
      </c>
      <c r="Y172" s="122">
        <v>14016</v>
      </c>
      <c r="Z172" s="113">
        <v>24944.49</v>
      </c>
      <c r="AA172" s="113">
        <v>49889.01999999999</v>
      </c>
      <c r="AB172" s="113">
        <v>2494.44</v>
      </c>
      <c r="AC172" s="122">
        <v>57260</v>
      </c>
      <c r="AD172" s="113">
        <v>623.61</v>
      </c>
      <c r="AE172" s="122" t="s">
        <v>433</v>
      </c>
      <c r="AF172" s="92"/>
      <c r="AG172" s="92"/>
      <c r="AH172" s="92" t="s">
        <v>2</v>
      </c>
      <c r="AI172" s="92" t="s">
        <v>1785</v>
      </c>
      <c r="AJ172" s="92" t="s">
        <v>1787</v>
      </c>
      <c r="AK172" s="92" t="s">
        <v>1779</v>
      </c>
      <c r="AL172" s="92">
        <v>0</v>
      </c>
      <c r="AM172" s="92">
        <v>0</v>
      </c>
    </row>
    <row r="173" spans="2:50">
      <c r="B173" s="122">
        <v>2149</v>
      </c>
      <c r="C173" s="132">
        <v>240612</v>
      </c>
      <c r="D173" s="122" t="s">
        <v>433</v>
      </c>
      <c r="E173" s="92" t="s">
        <v>1626</v>
      </c>
      <c r="F173" t="s">
        <v>562</v>
      </c>
      <c r="I173" s="122">
        <v>35</v>
      </c>
      <c r="J173" s="92"/>
      <c r="K173" s="122">
        <v>0</v>
      </c>
      <c r="L173" s="92" t="s">
        <v>1373</v>
      </c>
      <c r="M173" s="92"/>
      <c r="N173" s="92" t="s">
        <v>1801</v>
      </c>
      <c r="O173" s="92" t="s">
        <v>1789</v>
      </c>
      <c r="P173" s="92"/>
      <c r="Q173" s="92"/>
      <c r="R173" s="92"/>
      <c r="S173" s="133">
        <v>44104</v>
      </c>
      <c r="T173" s="133">
        <v>44104</v>
      </c>
      <c r="U173" s="92" t="s">
        <v>1372</v>
      </c>
      <c r="V173" s="122">
        <v>500</v>
      </c>
      <c r="W173" s="122">
        <v>14070</v>
      </c>
      <c r="X173" s="113">
        <v>29610.2</v>
      </c>
      <c r="Y173" s="122">
        <v>14076</v>
      </c>
      <c r="Z173" s="113">
        <v>21220.63</v>
      </c>
      <c r="AA173" s="113">
        <v>8389.57</v>
      </c>
      <c r="AB173" s="113">
        <v>1974</v>
      </c>
      <c r="AC173" s="122">
        <v>51260</v>
      </c>
      <c r="AD173" s="113">
        <v>493.5</v>
      </c>
      <c r="AE173" s="122" t="s">
        <v>433</v>
      </c>
      <c r="AF173" s="92"/>
      <c r="AG173" s="92"/>
      <c r="AH173" s="92" t="s">
        <v>2</v>
      </c>
      <c r="AI173" s="92" t="s">
        <v>1785</v>
      </c>
      <c r="AJ173" s="92" t="s">
        <v>1787</v>
      </c>
      <c r="AK173" s="92" t="s">
        <v>1779</v>
      </c>
      <c r="AL173" s="92">
        <v>0</v>
      </c>
      <c r="AM173" s="92">
        <v>0</v>
      </c>
    </row>
    <row r="174" spans="2:50">
      <c r="B174" s="122">
        <v>2149</v>
      </c>
      <c r="C174" s="132">
        <v>240179</v>
      </c>
      <c r="D174" s="122" t="s">
        <v>433</v>
      </c>
      <c r="E174" s="92" t="s">
        <v>1626</v>
      </c>
      <c r="F174" t="s">
        <v>535</v>
      </c>
      <c r="I174" s="122">
        <v>1</v>
      </c>
      <c r="J174" s="92" t="s">
        <v>610</v>
      </c>
      <c r="K174" s="122">
        <v>2020</v>
      </c>
      <c r="L174" s="92" t="s">
        <v>1146</v>
      </c>
      <c r="M174" s="92" t="s">
        <v>854</v>
      </c>
      <c r="N174" s="92" t="s">
        <v>1788</v>
      </c>
      <c r="O174" s="92" t="s">
        <v>1789</v>
      </c>
      <c r="P174" s="92" t="s">
        <v>1814</v>
      </c>
      <c r="Q174" s="92"/>
      <c r="R174" s="92"/>
      <c r="S174" s="133">
        <v>44074</v>
      </c>
      <c r="T174" s="133">
        <v>44074</v>
      </c>
      <c r="U174" s="92" t="s">
        <v>1371</v>
      </c>
      <c r="V174" s="122">
        <v>1000</v>
      </c>
      <c r="W174" s="122">
        <v>14040</v>
      </c>
      <c r="X174" s="113">
        <v>365750.47</v>
      </c>
      <c r="Y174" s="122">
        <v>14046</v>
      </c>
      <c r="Z174" s="113">
        <v>134108.51</v>
      </c>
      <c r="AA174" s="113">
        <v>231641.95999999996</v>
      </c>
      <c r="AB174" s="113">
        <v>12191.68</v>
      </c>
      <c r="AC174" s="122">
        <v>51260</v>
      </c>
      <c r="AD174" s="113">
        <v>3047.92</v>
      </c>
      <c r="AE174" s="122" t="s">
        <v>433</v>
      </c>
      <c r="AF174" s="92"/>
      <c r="AG174" s="92">
        <v>47</v>
      </c>
      <c r="AH174" s="92" t="s">
        <v>2</v>
      </c>
      <c r="AI174" s="92" t="s">
        <v>1785</v>
      </c>
      <c r="AJ174" s="92" t="s">
        <v>1787</v>
      </c>
      <c r="AK174" s="92" t="s">
        <v>1779</v>
      </c>
      <c r="AL174" s="92">
        <v>0</v>
      </c>
      <c r="AM174" s="92">
        <v>0</v>
      </c>
    </row>
    <row r="175" spans="2:50">
      <c r="B175" s="122">
        <v>2149</v>
      </c>
      <c r="C175" s="132">
        <v>239453</v>
      </c>
      <c r="D175" s="122">
        <v>236165</v>
      </c>
      <c r="E175" s="92" t="s">
        <v>1626</v>
      </c>
      <c r="F175" t="s">
        <v>564</v>
      </c>
      <c r="I175" s="122">
        <v>1</v>
      </c>
      <c r="J175" s="92"/>
      <c r="K175" s="122">
        <v>2020</v>
      </c>
      <c r="L175" s="92" t="s">
        <v>620</v>
      </c>
      <c r="M175" s="92" t="s">
        <v>908</v>
      </c>
      <c r="N175" s="92" t="s">
        <v>1788</v>
      </c>
      <c r="O175" s="92" t="s">
        <v>1789</v>
      </c>
      <c r="P175" s="92" t="s">
        <v>683</v>
      </c>
      <c r="Q175" s="92"/>
      <c r="R175" s="92"/>
      <c r="S175" s="133">
        <v>44074</v>
      </c>
      <c r="T175" s="133">
        <v>44074</v>
      </c>
      <c r="U175" s="92" t="s">
        <v>1370</v>
      </c>
      <c r="V175" s="122">
        <v>500</v>
      </c>
      <c r="W175" s="122">
        <v>14040</v>
      </c>
      <c r="X175" s="113">
        <v>706.71</v>
      </c>
      <c r="Y175" s="122">
        <v>14046</v>
      </c>
      <c r="Z175" s="113">
        <v>518.25</v>
      </c>
      <c r="AA175" s="113">
        <v>188.46000000000004</v>
      </c>
      <c r="AB175" s="113">
        <v>47.12</v>
      </c>
      <c r="AC175" s="122">
        <v>51260</v>
      </c>
      <c r="AD175" s="113">
        <v>11.78</v>
      </c>
      <c r="AE175" s="122" t="s">
        <v>433</v>
      </c>
      <c r="AF175" s="92"/>
      <c r="AG175" s="92"/>
      <c r="AH175" s="92" t="s">
        <v>2</v>
      </c>
      <c r="AI175" s="92" t="s">
        <v>1785</v>
      </c>
      <c r="AJ175" s="92" t="s">
        <v>1787</v>
      </c>
      <c r="AK175" s="92" t="s">
        <v>1779</v>
      </c>
      <c r="AL175" s="92">
        <v>0</v>
      </c>
      <c r="AM175" s="92">
        <v>0</v>
      </c>
    </row>
    <row r="176" spans="2:50">
      <c r="B176" s="122">
        <v>2149</v>
      </c>
      <c r="C176" s="132">
        <v>238422</v>
      </c>
      <c r="D176" s="122" t="s">
        <v>433</v>
      </c>
      <c r="E176" s="92" t="s">
        <v>1626</v>
      </c>
      <c r="F176" t="s">
        <v>1369</v>
      </c>
      <c r="I176" s="122">
        <v>151</v>
      </c>
      <c r="J176" s="92"/>
      <c r="K176" s="122">
        <v>0</v>
      </c>
      <c r="L176" s="92" t="s">
        <v>1368</v>
      </c>
      <c r="M176" s="92"/>
      <c r="N176" s="92" t="s">
        <v>646</v>
      </c>
      <c r="O176" s="92" t="s">
        <v>1789</v>
      </c>
      <c r="P176" s="92"/>
      <c r="Q176" s="92"/>
      <c r="R176" s="92"/>
      <c r="S176" s="133">
        <v>44103</v>
      </c>
      <c r="T176" s="133">
        <v>44103</v>
      </c>
      <c r="U176" s="92" t="s">
        <v>1367</v>
      </c>
      <c r="V176" s="122">
        <v>700</v>
      </c>
      <c r="W176" s="122">
        <v>14050</v>
      </c>
      <c r="X176" s="113">
        <v>5615.79</v>
      </c>
      <c r="Y176" s="122">
        <v>14056</v>
      </c>
      <c r="Z176" s="113">
        <v>2874.74</v>
      </c>
      <c r="AA176" s="113">
        <v>2741.05</v>
      </c>
      <c r="AB176" s="113">
        <v>267.39999999999998</v>
      </c>
      <c r="AC176" s="122">
        <v>54260</v>
      </c>
      <c r="AD176" s="113">
        <v>66.849999999999994</v>
      </c>
      <c r="AE176" s="122" t="s">
        <v>433</v>
      </c>
      <c r="AF176" s="92"/>
      <c r="AG176" s="92"/>
      <c r="AH176" s="92" t="s">
        <v>2</v>
      </c>
      <c r="AI176" s="92" t="s">
        <v>1785</v>
      </c>
      <c r="AJ176" s="92" t="s">
        <v>1787</v>
      </c>
      <c r="AK176" s="92" t="s">
        <v>1779</v>
      </c>
      <c r="AL176" s="92">
        <v>0</v>
      </c>
      <c r="AM176" s="92">
        <v>0</v>
      </c>
    </row>
    <row r="177" spans="2:39">
      <c r="B177" s="122">
        <v>2149</v>
      </c>
      <c r="C177" s="132">
        <v>238421</v>
      </c>
      <c r="D177" s="122" t="s">
        <v>433</v>
      </c>
      <c r="E177" s="92" t="s">
        <v>1626</v>
      </c>
      <c r="F177" t="s">
        <v>457</v>
      </c>
      <c r="I177" s="122">
        <v>151</v>
      </c>
      <c r="J177" s="92"/>
      <c r="K177" s="122">
        <v>0</v>
      </c>
      <c r="L177" s="92" t="s">
        <v>1368</v>
      </c>
      <c r="M177" s="92"/>
      <c r="N177" s="92" t="s">
        <v>646</v>
      </c>
      <c r="O177" s="92" t="s">
        <v>1789</v>
      </c>
      <c r="P177" s="92"/>
      <c r="Q177" s="92"/>
      <c r="R177" s="92"/>
      <c r="S177" s="133">
        <v>44103</v>
      </c>
      <c r="T177" s="133">
        <v>44103</v>
      </c>
      <c r="U177" s="92" t="s">
        <v>1367</v>
      </c>
      <c r="V177" s="122">
        <v>700</v>
      </c>
      <c r="W177" s="122">
        <v>14050</v>
      </c>
      <c r="X177" s="113">
        <v>6461.39</v>
      </c>
      <c r="Y177" s="122">
        <v>14056</v>
      </c>
      <c r="Z177" s="113">
        <v>3307.62</v>
      </c>
      <c r="AA177" s="113">
        <v>3153.7700000000004</v>
      </c>
      <c r="AB177" s="113">
        <v>307.68</v>
      </c>
      <c r="AC177" s="122">
        <v>54260</v>
      </c>
      <c r="AD177" s="113">
        <v>76.92</v>
      </c>
      <c r="AE177" s="122" t="s">
        <v>433</v>
      </c>
      <c r="AF177" s="92"/>
      <c r="AG177" s="92"/>
      <c r="AH177" s="92" t="s">
        <v>2</v>
      </c>
      <c r="AI177" s="92" t="s">
        <v>1785</v>
      </c>
      <c r="AJ177" s="92" t="s">
        <v>1787</v>
      </c>
      <c r="AK177" s="92" t="s">
        <v>1779</v>
      </c>
      <c r="AL177" s="92">
        <v>0</v>
      </c>
      <c r="AM177" s="92">
        <v>0</v>
      </c>
    </row>
    <row r="178" spans="2:39">
      <c r="B178" s="122">
        <v>2149</v>
      </c>
      <c r="C178" s="132">
        <v>238420</v>
      </c>
      <c r="D178" s="122" t="s">
        <v>433</v>
      </c>
      <c r="E178" s="92" t="s">
        <v>1626</v>
      </c>
      <c r="F178" t="s">
        <v>465</v>
      </c>
      <c r="I178" s="122">
        <v>350</v>
      </c>
      <c r="J178" s="92"/>
      <c r="K178" s="122">
        <v>0</v>
      </c>
      <c r="L178" s="92" t="s">
        <v>1368</v>
      </c>
      <c r="M178" s="92"/>
      <c r="N178" s="92" t="s">
        <v>646</v>
      </c>
      <c r="O178" s="92" t="s">
        <v>1789</v>
      </c>
      <c r="P178" s="92"/>
      <c r="Q178" s="92"/>
      <c r="R178" s="92"/>
      <c r="S178" s="133">
        <v>44103</v>
      </c>
      <c r="T178" s="133">
        <v>44103</v>
      </c>
      <c r="U178" s="92" t="s">
        <v>1367</v>
      </c>
      <c r="V178" s="122">
        <v>700</v>
      </c>
      <c r="W178" s="122">
        <v>14050</v>
      </c>
      <c r="X178" s="113">
        <v>14976.73</v>
      </c>
      <c r="Y178" s="122">
        <v>14056</v>
      </c>
      <c r="Z178" s="113">
        <v>7666.63</v>
      </c>
      <c r="AA178" s="113">
        <v>7310.0999999999995</v>
      </c>
      <c r="AB178" s="113">
        <v>713.16</v>
      </c>
      <c r="AC178" s="122">
        <v>54260</v>
      </c>
      <c r="AD178" s="113">
        <v>178.29</v>
      </c>
      <c r="AE178" s="122" t="s">
        <v>433</v>
      </c>
      <c r="AF178" s="92"/>
      <c r="AG178" s="92"/>
      <c r="AH178" s="92" t="s">
        <v>2</v>
      </c>
      <c r="AI178" s="92" t="s">
        <v>1785</v>
      </c>
      <c r="AJ178" s="92" t="s">
        <v>1787</v>
      </c>
      <c r="AK178" s="92" t="s">
        <v>1779</v>
      </c>
      <c r="AL178" s="92">
        <v>0</v>
      </c>
      <c r="AM178" s="92">
        <v>0</v>
      </c>
    </row>
    <row r="179" spans="2:39">
      <c r="B179" s="122">
        <v>2149</v>
      </c>
      <c r="C179" s="132">
        <v>237932</v>
      </c>
      <c r="D179" s="122" t="s">
        <v>433</v>
      </c>
      <c r="E179" s="92" t="s">
        <v>1626</v>
      </c>
      <c r="F179" t="s">
        <v>572</v>
      </c>
      <c r="I179" s="122">
        <v>1</v>
      </c>
      <c r="J179" s="92"/>
      <c r="K179" s="122">
        <v>0</v>
      </c>
      <c r="L179" s="92"/>
      <c r="M179" s="92"/>
      <c r="N179" s="92" t="s">
        <v>646</v>
      </c>
      <c r="O179" s="92" t="s">
        <v>1789</v>
      </c>
      <c r="P179" s="92"/>
      <c r="Q179" s="92" t="s">
        <v>1818</v>
      </c>
      <c r="R179" s="92" t="s">
        <v>1791</v>
      </c>
      <c r="S179" s="133">
        <v>39755</v>
      </c>
      <c r="T179" s="133">
        <v>39755</v>
      </c>
      <c r="U179" s="92"/>
      <c r="V179" s="122">
        <v>700</v>
      </c>
      <c r="W179" s="122">
        <v>14050</v>
      </c>
      <c r="X179" s="113">
        <v>624.67999999999995</v>
      </c>
      <c r="Y179" s="122">
        <v>14056</v>
      </c>
      <c r="Z179" s="113">
        <v>624.67999999999995</v>
      </c>
      <c r="AA179" s="113">
        <v>0</v>
      </c>
      <c r="AB179" s="113">
        <v>0</v>
      </c>
      <c r="AC179" s="122">
        <v>54260</v>
      </c>
      <c r="AD179" s="113">
        <v>0</v>
      </c>
      <c r="AE179" s="122" t="s">
        <v>663</v>
      </c>
      <c r="AF179" s="92" t="s">
        <v>905</v>
      </c>
      <c r="AG179" s="92" t="s">
        <v>1212</v>
      </c>
      <c r="AH179" s="92" t="s">
        <v>2</v>
      </c>
      <c r="AI179" s="92" t="s">
        <v>1785</v>
      </c>
      <c r="AJ179" s="92" t="s">
        <v>1787</v>
      </c>
      <c r="AK179" s="92" t="s">
        <v>1779</v>
      </c>
      <c r="AL179" s="92">
        <v>0</v>
      </c>
      <c r="AM179" s="92">
        <v>0</v>
      </c>
    </row>
    <row r="180" spans="2:39">
      <c r="B180" s="122">
        <v>2149</v>
      </c>
      <c r="C180" s="132">
        <v>237931</v>
      </c>
      <c r="D180" s="122" t="s">
        <v>433</v>
      </c>
      <c r="E180" s="92" t="s">
        <v>1626</v>
      </c>
      <c r="F180" t="s">
        <v>1366</v>
      </c>
      <c r="I180" s="122">
        <v>1</v>
      </c>
      <c r="J180" s="92"/>
      <c r="K180" s="122">
        <v>0</v>
      </c>
      <c r="L180" s="92"/>
      <c r="M180" s="92"/>
      <c r="N180" s="92" t="s">
        <v>646</v>
      </c>
      <c r="O180" s="92" t="s">
        <v>1789</v>
      </c>
      <c r="P180" s="92"/>
      <c r="Q180" s="92" t="s">
        <v>1823</v>
      </c>
      <c r="R180" s="92" t="s">
        <v>1794</v>
      </c>
      <c r="S180" s="133">
        <v>39755</v>
      </c>
      <c r="T180" s="133">
        <v>39755</v>
      </c>
      <c r="U180" s="92"/>
      <c r="V180" s="122">
        <v>700</v>
      </c>
      <c r="W180" s="122">
        <v>14050</v>
      </c>
      <c r="X180" s="113">
        <v>1700</v>
      </c>
      <c r="Y180" s="122">
        <v>14056</v>
      </c>
      <c r="Z180" s="113">
        <v>1700</v>
      </c>
      <c r="AA180" s="113">
        <v>0</v>
      </c>
      <c r="AB180" s="113">
        <v>0</v>
      </c>
      <c r="AC180" s="122">
        <v>54260</v>
      </c>
      <c r="AD180" s="113">
        <v>0</v>
      </c>
      <c r="AE180" s="122" t="s">
        <v>663</v>
      </c>
      <c r="AF180" s="92" t="s">
        <v>905</v>
      </c>
      <c r="AG180" s="92" t="s">
        <v>1212</v>
      </c>
      <c r="AH180" s="92" t="s">
        <v>2</v>
      </c>
      <c r="AI180" s="92" t="s">
        <v>1785</v>
      </c>
      <c r="AJ180" s="92" t="s">
        <v>1787</v>
      </c>
      <c r="AK180" s="92" t="s">
        <v>1779</v>
      </c>
      <c r="AL180" s="92">
        <v>0</v>
      </c>
      <c r="AM180" s="92">
        <v>0</v>
      </c>
    </row>
    <row r="181" spans="2:39">
      <c r="B181" s="122">
        <v>2149</v>
      </c>
      <c r="C181" s="132">
        <v>237930</v>
      </c>
      <c r="D181" s="122" t="s">
        <v>433</v>
      </c>
      <c r="E181" s="92" t="s">
        <v>1626</v>
      </c>
      <c r="F181" t="s">
        <v>1365</v>
      </c>
      <c r="I181" s="122">
        <v>1</v>
      </c>
      <c r="J181" s="92"/>
      <c r="K181" s="122">
        <v>0</v>
      </c>
      <c r="L181" s="92"/>
      <c r="M181" s="92"/>
      <c r="N181" s="92" t="s">
        <v>646</v>
      </c>
      <c r="O181" s="92" t="s">
        <v>1789</v>
      </c>
      <c r="P181" s="92"/>
      <c r="Q181" s="92" t="s">
        <v>1811</v>
      </c>
      <c r="R181" s="92" t="s">
        <v>1794</v>
      </c>
      <c r="S181" s="133">
        <v>39755</v>
      </c>
      <c r="T181" s="133">
        <v>39755</v>
      </c>
      <c r="U181" s="92"/>
      <c r="V181" s="122">
        <v>700</v>
      </c>
      <c r="W181" s="122">
        <v>14050</v>
      </c>
      <c r="X181" s="113">
        <v>1092.8499999999999</v>
      </c>
      <c r="Y181" s="122">
        <v>14056</v>
      </c>
      <c r="Z181" s="113">
        <v>1092.8499999999999</v>
      </c>
      <c r="AA181" s="113">
        <v>0</v>
      </c>
      <c r="AB181" s="113">
        <v>0</v>
      </c>
      <c r="AC181" s="122">
        <v>54260</v>
      </c>
      <c r="AD181" s="113">
        <v>0</v>
      </c>
      <c r="AE181" s="122" t="s">
        <v>663</v>
      </c>
      <c r="AF181" s="92" t="s">
        <v>905</v>
      </c>
      <c r="AG181" s="92" t="s">
        <v>1212</v>
      </c>
      <c r="AH181" s="92" t="s">
        <v>2</v>
      </c>
      <c r="AI181" s="92" t="s">
        <v>1785</v>
      </c>
      <c r="AJ181" s="92" t="s">
        <v>1787</v>
      </c>
      <c r="AK181" s="92" t="s">
        <v>1779</v>
      </c>
      <c r="AL181" s="92">
        <v>0</v>
      </c>
      <c r="AM181" s="92">
        <v>0</v>
      </c>
    </row>
    <row r="182" spans="2:39">
      <c r="B182" s="122">
        <v>2149</v>
      </c>
      <c r="C182" s="132">
        <v>237929</v>
      </c>
      <c r="D182" s="122" t="s">
        <v>433</v>
      </c>
      <c r="E182" s="92" t="s">
        <v>1626</v>
      </c>
      <c r="F182" t="s">
        <v>1364</v>
      </c>
      <c r="I182" s="122">
        <v>7</v>
      </c>
      <c r="J182" s="92"/>
      <c r="K182" s="122">
        <v>0</v>
      </c>
      <c r="L182" s="92"/>
      <c r="M182" s="92"/>
      <c r="N182" s="92" t="s">
        <v>646</v>
      </c>
      <c r="O182" s="92" t="s">
        <v>1789</v>
      </c>
      <c r="P182" s="92"/>
      <c r="Q182" s="92" t="s">
        <v>1796</v>
      </c>
      <c r="R182" s="92" t="s">
        <v>1794</v>
      </c>
      <c r="S182" s="133">
        <v>39755</v>
      </c>
      <c r="T182" s="133">
        <v>39755</v>
      </c>
      <c r="U182" s="92"/>
      <c r="V182" s="122">
        <v>700</v>
      </c>
      <c r="W182" s="122">
        <v>14050</v>
      </c>
      <c r="X182" s="113">
        <v>9100</v>
      </c>
      <c r="Y182" s="122">
        <v>14056</v>
      </c>
      <c r="Z182" s="113">
        <v>9100</v>
      </c>
      <c r="AA182" s="113">
        <v>0</v>
      </c>
      <c r="AB182" s="113">
        <v>0</v>
      </c>
      <c r="AC182" s="122">
        <v>54260</v>
      </c>
      <c r="AD182" s="113">
        <v>0</v>
      </c>
      <c r="AE182" s="122" t="s">
        <v>663</v>
      </c>
      <c r="AF182" s="92" t="s">
        <v>905</v>
      </c>
      <c r="AG182" s="92" t="s">
        <v>1212</v>
      </c>
      <c r="AH182" s="92" t="s">
        <v>2</v>
      </c>
      <c r="AI182" s="92" t="s">
        <v>1785</v>
      </c>
      <c r="AJ182" s="92" t="s">
        <v>1787</v>
      </c>
      <c r="AK182" s="92" t="s">
        <v>1779</v>
      </c>
      <c r="AL182" s="92">
        <v>0</v>
      </c>
      <c r="AM182" s="92">
        <v>0</v>
      </c>
    </row>
    <row r="183" spans="2:39">
      <c r="B183" s="122">
        <v>2149</v>
      </c>
      <c r="C183" s="132">
        <v>236165</v>
      </c>
      <c r="D183" s="122" t="s">
        <v>433</v>
      </c>
      <c r="E183" s="92" t="s">
        <v>1626</v>
      </c>
      <c r="F183" t="s">
        <v>550</v>
      </c>
      <c r="I183" s="122">
        <v>1</v>
      </c>
      <c r="J183" s="92" t="s">
        <v>1363</v>
      </c>
      <c r="K183" s="122">
        <v>2020</v>
      </c>
      <c r="L183" s="92" t="s">
        <v>1362</v>
      </c>
      <c r="M183" s="92" t="s">
        <v>908</v>
      </c>
      <c r="N183" s="92" t="s">
        <v>1788</v>
      </c>
      <c r="O183" s="92" t="s">
        <v>1789</v>
      </c>
      <c r="P183" s="92" t="s">
        <v>1809</v>
      </c>
      <c r="Q183" s="92"/>
      <c r="R183" s="92"/>
      <c r="S183" s="133">
        <v>44074</v>
      </c>
      <c r="T183" s="133">
        <v>44074</v>
      </c>
      <c r="U183" s="92" t="s">
        <v>1361</v>
      </c>
      <c r="V183" s="122">
        <v>1000</v>
      </c>
      <c r="W183" s="122">
        <v>14040</v>
      </c>
      <c r="X183" s="113">
        <v>237305.77</v>
      </c>
      <c r="Y183" s="122">
        <v>14046</v>
      </c>
      <c r="Z183" s="113">
        <v>87012.13</v>
      </c>
      <c r="AA183" s="113">
        <v>150293.63999999998</v>
      </c>
      <c r="AB183" s="113">
        <v>7910.2</v>
      </c>
      <c r="AC183" s="122">
        <v>51260</v>
      </c>
      <c r="AD183" s="113">
        <v>1977.55</v>
      </c>
      <c r="AE183" s="122" t="s">
        <v>433</v>
      </c>
      <c r="AF183" s="92"/>
      <c r="AG183" s="92">
        <v>21</v>
      </c>
      <c r="AH183" s="92" t="s">
        <v>2</v>
      </c>
      <c r="AI183" s="92" t="s">
        <v>1785</v>
      </c>
      <c r="AJ183" s="92" t="s">
        <v>1787</v>
      </c>
      <c r="AK183" s="92" t="s">
        <v>1779</v>
      </c>
      <c r="AL183" s="92">
        <v>0</v>
      </c>
      <c r="AM183" s="92">
        <v>0</v>
      </c>
    </row>
    <row r="184" spans="2:39">
      <c r="B184" s="122">
        <v>2149</v>
      </c>
      <c r="C184" s="132">
        <v>236069</v>
      </c>
      <c r="D184" s="122" t="s">
        <v>433</v>
      </c>
      <c r="E184" s="92" t="s">
        <v>1626</v>
      </c>
      <c r="F184" t="s">
        <v>1360</v>
      </c>
      <c r="I184" s="122">
        <v>30</v>
      </c>
      <c r="J184" s="92"/>
      <c r="K184" s="122">
        <v>0</v>
      </c>
      <c r="L184" s="92" t="s">
        <v>1241</v>
      </c>
      <c r="M184" s="92"/>
      <c r="N184" s="92" t="s">
        <v>646</v>
      </c>
      <c r="O184" s="92" t="s">
        <v>1789</v>
      </c>
      <c r="P184" s="92"/>
      <c r="Q184" s="92" t="s">
        <v>1792</v>
      </c>
      <c r="R184" s="92" t="s">
        <v>1791</v>
      </c>
      <c r="S184" s="133">
        <v>44042</v>
      </c>
      <c r="T184" s="133">
        <v>44042</v>
      </c>
      <c r="U184" s="92" t="s">
        <v>1359</v>
      </c>
      <c r="V184" s="122">
        <v>1200</v>
      </c>
      <c r="W184" s="122">
        <v>14050</v>
      </c>
      <c r="X184" s="113">
        <v>16950</v>
      </c>
      <c r="Y184" s="122">
        <v>14056</v>
      </c>
      <c r="Z184" s="113">
        <v>5296.88</v>
      </c>
      <c r="AA184" s="113">
        <v>11653.119999999999</v>
      </c>
      <c r="AB184" s="113">
        <v>470.84</v>
      </c>
      <c r="AC184" s="122">
        <v>54260</v>
      </c>
      <c r="AD184" s="113">
        <v>117.71</v>
      </c>
      <c r="AE184" s="122" t="s">
        <v>433</v>
      </c>
      <c r="AF184" s="92"/>
      <c r="AG184" s="92"/>
      <c r="AH184" s="92" t="s">
        <v>2</v>
      </c>
      <c r="AI184" s="92" t="s">
        <v>1785</v>
      </c>
      <c r="AJ184" s="92" t="s">
        <v>1787</v>
      </c>
      <c r="AK184" s="92" t="s">
        <v>1779</v>
      </c>
      <c r="AL184" s="92">
        <v>0</v>
      </c>
      <c r="AM184" s="92">
        <v>0</v>
      </c>
    </row>
    <row r="185" spans="2:39">
      <c r="B185" s="122">
        <v>2149</v>
      </c>
      <c r="C185" s="132">
        <v>234067</v>
      </c>
      <c r="D185" s="122" t="s">
        <v>433</v>
      </c>
      <c r="E185" s="92" t="s">
        <v>1626</v>
      </c>
      <c r="F185" t="s">
        <v>1358</v>
      </c>
      <c r="I185" s="122">
        <v>312</v>
      </c>
      <c r="J185" s="92"/>
      <c r="K185" s="122">
        <v>0</v>
      </c>
      <c r="L185" s="92" t="s">
        <v>1199</v>
      </c>
      <c r="M185" s="92"/>
      <c r="N185" s="92" t="s">
        <v>646</v>
      </c>
      <c r="O185" s="92" t="s">
        <v>1789</v>
      </c>
      <c r="P185" s="92"/>
      <c r="Q185" s="92"/>
      <c r="R185" s="92"/>
      <c r="S185" s="133">
        <v>43994</v>
      </c>
      <c r="T185" s="133">
        <v>43994</v>
      </c>
      <c r="U185" s="92" t="s">
        <v>1356</v>
      </c>
      <c r="V185" s="122">
        <v>700</v>
      </c>
      <c r="W185" s="122">
        <v>14050</v>
      </c>
      <c r="X185" s="113">
        <v>12863.76</v>
      </c>
      <c r="Y185" s="122">
        <v>14056</v>
      </c>
      <c r="Z185" s="113">
        <v>7197.58</v>
      </c>
      <c r="AA185" s="113">
        <v>5666.18</v>
      </c>
      <c r="AB185" s="113">
        <v>612.55999999999995</v>
      </c>
      <c r="AC185" s="122">
        <v>54260</v>
      </c>
      <c r="AD185" s="113">
        <v>153.13999999999999</v>
      </c>
      <c r="AE185" s="122" t="s">
        <v>433</v>
      </c>
      <c r="AF185" s="92"/>
      <c r="AG185" s="92"/>
      <c r="AH185" s="92" t="s">
        <v>2</v>
      </c>
      <c r="AI185" s="92" t="s">
        <v>1785</v>
      </c>
      <c r="AJ185" s="92" t="s">
        <v>1787</v>
      </c>
      <c r="AK185" s="92" t="s">
        <v>1779</v>
      </c>
      <c r="AL185" s="92">
        <v>0</v>
      </c>
      <c r="AM185" s="92">
        <v>0</v>
      </c>
    </row>
    <row r="186" spans="2:39">
      <c r="B186" s="122">
        <v>2149</v>
      </c>
      <c r="C186" s="132">
        <v>234066</v>
      </c>
      <c r="D186" s="122" t="s">
        <v>433</v>
      </c>
      <c r="E186" s="92" t="s">
        <v>1626</v>
      </c>
      <c r="F186" t="s">
        <v>1357</v>
      </c>
      <c r="I186" s="122">
        <v>312</v>
      </c>
      <c r="J186" s="92"/>
      <c r="K186" s="122">
        <v>0</v>
      </c>
      <c r="L186" s="92" t="s">
        <v>1199</v>
      </c>
      <c r="M186" s="92"/>
      <c r="N186" s="92" t="s">
        <v>646</v>
      </c>
      <c r="O186" s="92" t="s">
        <v>1789</v>
      </c>
      <c r="P186" s="92"/>
      <c r="Q186" s="92"/>
      <c r="R186" s="92"/>
      <c r="S186" s="133">
        <v>43994</v>
      </c>
      <c r="T186" s="133">
        <v>43994</v>
      </c>
      <c r="U186" s="92" t="s">
        <v>1356</v>
      </c>
      <c r="V186" s="122">
        <v>700</v>
      </c>
      <c r="W186" s="122">
        <v>14050</v>
      </c>
      <c r="X186" s="113">
        <v>12863.76</v>
      </c>
      <c r="Y186" s="122">
        <v>14056</v>
      </c>
      <c r="Z186" s="113">
        <v>7197.58</v>
      </c>
      <c r="AA186" s="113">
        <v>5666.18</v>
      </c>
      <c r="AB186" s="113">
        <v>612.55999999999995</v>
      </c>
      <c r="AC186" s="122">
        <v>54260</v>
      </c>
      <c r="AD186" s="113">
        <v>153.13999999999999</v>
      </c>
      <c r="AE186" s="122" t="s">
        <v>433</v>
      </c>
      <c r="AF186" s="92"/>
      <c r="AG186" s="92"/>
      <c r="AH186" s="92" t="s">
        <v>2</v>
      </c>
      <c r="AI186" s="92" t="s">
        <v>1785</v>
      </c>
      <c r="AJ186" s="92" t="s">
        <v>1787</v>
      </c>
      <c r="AK186" s="92" t="s">
        <v>1779</v>
      </c>
      <c r="AL186" s="92">
        <v>0</v>
      </c>
      <c r="AM186" s="92">
        <v>0</v>
      </c>
    </row>
    <row r="187" spans="2:39">
      <c r="B187" s="122">
        <v>2149</v>
      </c>
      <c r="C187" s="132">
        <v>228793</v>
      </c>
      <c r="D187" s="122" t="s">
        <v>433</v>
      </c>
      <c r="E187" s="92" t="s">
        <v>1626</v>
      </c>
      <c r="F187" t="s">
        <v>486</v>
      </c>
      <c r="I187" s="122">
        <v>1</v>
      </c>
      <c r="J187" s="92" t="s">
        <v>619</v>
      </c>
      <c r="K187" s="122">
        <v>2000</v>
      </c>
      <c r="L187" s="92" t="s">
        <v>1355</v>
      </c>
      <c r="M187" s="92" t="s">
        <v>722</v>
      </c>
      <c r="N187" s="92" t="s">
        <v>1788</v>
      </c>
      <c r="O187" s="92" t="s">
        <v>1789</v>
      </c>
      <c r="P187" s="92" t="s">
        <v>1817</v>
      </c>
      <c r="Q187" s="92"/>
      <c r="R187" s="92"/>
      <c r="S187" s="133">
        <v>39755</v>
      </c>
      <c r="T187" s="133">
        <v>39755</v>
      </c>
      <c r="U187" s="92"/>
      <c r="V187" s="122">
        <v>300</v>
      </c>
      <c r="W187" s="122">
        <v>14040</v>
      </c>
      <c r="X187" s="113">
        <v>18000</v>
      </c>
      <c r="Y187" s="122">
        <v>14046</v>
      </c>
      <c r="Z187" s="113">
        <v>18000</v>
      </c>
      <c r="AA187" s="113">
        <v>0</v>
      </c>
      <c r="AB187" s="113">
        <v>0</v>
      </c>
      <c r="AC187" s="122">
        <v>51260</v>
      </c>
      <c r="AD187" s="113">
        <v>0</v>
      </c>
      <c r="AE187" s="122" t="s">
        <v>663</v>
      </c>
      <c r="AF187" s="92" t="s">
        <v>905</v>
      </c>
      <c r="AG187" s="92">
        <v>8025</v>
      </c>
      <c r="AH187" s="92" t="s">
        <v>2</v>
      </c>
      <c r="AI187" s="92" t="s">
        <v>1785</v>
      </c>
      <c r="AJ187" s="92" t="s">
        <v>1787</v>
      </c>
      <c r="AK187" s="92" t="s">
        <v>1779</v>
      </c>
      <c r="AL187" s="92">
        <v>0</v>
      </c>
      <c r="AM187" s="92">
        <v>0</v>
      </c>
    </row>
    <row r="188" spans="2:39">
      <c r="B188" s="122">
        <v>2149</v>
      </c>
      <c r="C188" s="132">
        <v>225949</v>
      </c>
      <c r="D188" s="122">
        <v>225230</v>
      </c>
      <c r="E188" s="92" t="s">
        <v>1626</v>
      </c>
      <c r="F188" t="s">
        <v>1354</v>
      </c>
      <c r="I188" s="122">
        <v>1</v>
      </c>
      <c r="J188" s="92"/>
      <c r="K188" s="122">
        <v>0</v>
      </c>
      <c r="L188" s="92" t="s">
        <v>1343</v>
      </c>
      <c r="M188" s="92"/>
      <c r="N188" s="92" t="s">
        <v>1788</v>
      </c>
      <c r="O188" s="92" t="s">
        <v>1789</v>
      </c>
      <c r="P188" s="92" t="s">
        <v>683</v>
      </c>
      <c r="Q188" s="92"/>
      <c r="R188" s="92"/>
      <c r="S188" s="133">
        <v>43819</v>
      </c>
      <c r="T188" s="133">
        <v>43819</v>
      </c>
      <c r="U188" s="92" t="s">
        <v>1353</v>
      </c>
      <c r="V188" s="122">
        <v>1000</v>
      </c>
      <c r="W188" s="122">
        <v>14040</v>
      </c>
      <c r="X188" s="113">
        <v>1088.3699999999999</v>
      </c>
      <c r="Y188" s="122">
        <v>14046</v>
      </c>
      <c r="Z188" s="113">
        <v>471.64</v>
      </c>
      <c r="AA188" s="113">
        <v>616.7299999999999</v>
      </c>
      <c r="AB188" s="113">
        <v>36.28</v>
      </c>
      <c r="AC188" s="122">
        <v>51260</v>
      </c>
      <c r="AD188" s="113">
        <v>9.07</v>
      </c>
      <c r="AE188" s="122" t="s">
        <v>433</v>
      </c>
      <c r="AF188" s="92"/>
      <c r="AG188" s="92"/>
      <c r="AH188" s="92" t="s">
        <v>2</v>
      </c>
      <c r="AI188" s="92" t="s">
        <v>1785</v>
      </c>
      <c r="AJ188" s="92" t="s">
        <v>1787</v>
      </c>
      <c r="AK188" s="92" t="s">
        <v>1779</v>
      </c>
      <c r="AL188" s="92">
        <v>0</v>
      </c>
      <c r="AM188" s="92">
        <v>0</v>
      </c>
    </row>
    <row r="189" spans="2:39">
      <c r="B189" s="122">
        <v>2149</v>
      </c>
      <c r="C189" s="132">
        <v>225230</v>
      </c>
      <c r="D189" s="122" t="s">
        <v>433</v>
      </c>
      <c r="E189" s="92" t="s">
        <v>1626</v>
      </c>
      <c r="F189" t="s">
        <v>535</v>
      </c>
      <c r="I189" s="122">
        <v>1</v>
      </c>
      <c r="J189" s="92" t="s">
        <v>609</v>
      </c>
      <c r="K189" s="122">
        <v>2020</v>
      </c>
      <c r="L189" s="92" t="s">
        <v>1146</v>
      </c>
      <c r="M189" s="92" t="s">
        <v>854</v>
      </c>
      <c r="N189" s="92" t="s">
        <v>1788</v>
      </c>
      <c r="O189" s="92" t="s">
        <v>1789</v>
      </c>
      <c r="P189" s="92" t="s">
        <v>1814</v>
      </c>
      <c r="Q189" s="92"/>
      <c r="R189" s="92"/>
      <c r="S189" s="133">
        <v>43819</v>
      </c>
      <c r="T189" s="133">
        <v>43819</v>
      </c>
      <c r="U189" s="92" t="s">
        <v>1352</v>
      </c>
      <c r="V189" s="122">
        <v>1000</v>
      </c>
      <c r="W189" s="122">
        <v>14040</v>
      </c>
      <c r="X189" s="113">
        <v>358392.25</v>
      </c>
      <c r="Y189" s="122">
        <v>14046</v>
      </c>
      <c r="Z189" s="113">
        <v>155303.32</v>
      </c>
      <c r="AA189" s="113">
        <v>203088.93</v>
      </c>
      <c r="AB189" s="113">
        <v>11946.4</v>
      </c>
      <c r="AC189" s="122">
        <v>51260</v>
      </c>
      <c r="AD189" s="113">
        <v>2986.6</v>
      </c>
      <c r="AE189" s="122" t="s">
        <v>433</v>
      </c>
      <c r="AF189" s="92"/>
      <c r="AG189" s="92">
        <v>46</v>
      </c>
      <c r="AH189" s="92" t="s">
        <v>2</v>
      </c>
      <c r="AI189" s="92" t="s">
        <v>1785</v>
      </c>
      <c r="AJ189" s="92" t="s">
        <v>1787</v>
      </c>
      <c r="AK189" s="92" t="s">
        <v>1779</v>
      </c>
      <c r="AL189" s="92">
        <v>0</v>
      </c>
      <c r="AM189" s="92">
        <v>0</v>
      </c>
    </row>
    <row r="190" spans="2:39">
      <c r="B190" s="122">
        <v>2149</v>
      </c>
      <c r="C190" s="132">
        <v>223309</v>
      </c>
      <c r="D190" s="122" t="s">
        <v>433</v>
      </c>
      <c r="E190" s="92" t="s">
        <v>1626</v>
      </c>
      <c r="F190" t="s">
        <v>1351</v>
      </c>
      <c r="I190" s="122">
        <v>7</v>
      </c>
      <c r="J190" s="92"/>
      <c r="K190" s="122">
        <v>0</v>
      </c>
      <c r="L190" s="92"/>
      <c r="M190" s="92"/>
      <c r="N190" s="92" t="s">
        <v>646</v>
      </c>
      <c r="O190" s="92" t="s">
        <v>1789</v>
      </c>
      <c r="P190" s="92"/>
      <c r="Q190" s="92" t="s">
        <v>1793</v>
      </c>
      <c r="R190" s="92" t="s">
        <v>1794</v>
      </c>
      <c r="S190" s="133">
        <v>43770</v>
      </c>
      <c r="T190" s="133">
        <v>43770</v>
      </c>
      <c r="U190" s="92"/>
      <c r="V190" s="122">
        <v>0</v>
      </c>
      <c r="W190" s="122">
        <v>14050</v>
      </c>
      <c r="X190" s="113">
        <v>0</v>
      </c>
      <c r="Y190" s="122">
        <v>14056</v>
      </c>
      <c r="Z190" s="113">
        <v>0</v>
      </c>
      <c r="AA190" s="113">
        <v>0</v>
      </c>
      <c r="AB190" s="113">
        <v>0</v>
      </c>
      <c r="AC190" s="122">
        <v>54260</v>
      </c>
      <c r="AD190" s="113">
        <v>0</v>
      </c>
      <c r="AE190" s="122" t="s">
        <v>433</v>
      </c>
      <c r="AF190" s="92"/>
      <c r="AG190" s="92"/>
      <c r="AH190" s="92" t="s">
        <v>2</v>
      </c>
      <c r="AI190" s="92" t="s">
        <v>1785</v>
      </c>
      <c r="AJ190" s="92" t="s">
        <v>662</v>
      </c>
      <c r="AK190" s="92" t="s">
        <v>1779</v>
      </c>
      <c r="AL190" s="92">
        <v>0</v>
      </c>
      <c r="AM190" s="92">
        <v>0</v>
      </c>
    </row>
    <row r="191" spans="2:39">
      <c r="B191" s="122">
        <v>2149</v>
      </c>
      <c r="C191" s="132">
        <v>223180</v>
      </c>
      <c r="D191" s="122" t="s">
        <v>433</v>
      </c>
      <c r="E191" s="92" t="s">
        <v>1626</v>
      </c>
      <c r="F191" t="s">
        <v>1350</v>
      </c>
      <c r="I191" s="122">
        <v>7</v>
      </c>
      <c r="J191" s="92"/>
      <c r="K191" s="122">
        <v>0</v>
      </c>
      <c r="L191" s="92"/>
      <c r="M191" s="92"/>
      <c r="N191" s="92" t="s">
        <v>646</v>
      </c>
      <c r="O191" s="92" t="s">
        <v>1789</v>
      </c>
      <c r="P191" s="92"/>
      <c r="Q191" s="92" t="s">
        <v>1824</v>
      </c>
      <c r="R191" s="92" t="s">
        <v>1825</v>
      </c>
      <c r="S191" s="133">
        <v>43770</v>
      </c>
      <c r="T191" s="133">
        <v>43770</v>
      </c>
      <c r="U191" s="92"/>
      <c r="V191" s="122">
        <v>0</v>
      </c>
      <c r="W191" s="122">
        <v>14050</v>
      </c>
      <c r="X191" s="113">
        <v>0</v>
      </c>
      <c r="Y191" s="122">
        <v>14056</v>
      </c>
      <c r="Z191" s="113">
        <v>0</v>
      </c>
      <c r="AA191" s="113">
        <v>0</v>
      </c>
      <c r="AB191" s="113">
        <v>0</v>
      </c>
      <c r="AC191" s="122">
        <v>54260</v>
      </c>
      <c r="AD191" s="113">
        <v>0</v>
      </c>
      <c r="AE191" s="122" t="s">
        <v>433</v>
      </c>
      <c r="AF191" s="92"/>
      <c r="AG191" s="92"/>
      <c r="AH191" s="92" t="s">
        <v>2</v>
      </c>
      <c r="AI191" s="92" t="s">
        <v>1785</v>
      </c>
      <c r="AJ191" s="92" t="s">
        <v>662</v>
      </c>
      <c r="AK191" s="92" t="s">
        <v>1779</v>
      </c>
      <c r="AL191" s="92">
        <v>0</v>
      </c>
      <c r="AM191" s="92">
        <v>0</v>
      </c>
    </row>
    <row r="192" spans="2:39">
      <c r="B192" s="122">
        <v>2149</v>
      </c>
      <c r="C192" s="132">
        <v>223149</v>
      </c>
      <c r="D192" s="122" t="s">
        <v>433</v>
      </c>
      <c r="E192" s="92" t="s">
        <v>1626</v>
      </c>
      <c r="F192" t="s">
        <v>1349</v>
      </c>
      <c r="I192" s="122">
        <v>22</v>
      </c>
      <c r="J192" s="92"/>
      <c r="K192" s="122">
        <v>0</v>
      </c>
      <c r="L192" s="92"/>
      <c r="M192" s="92"/>
      <c r="N192" s="92" t="s">
        <v>646</v>
      </c>
      <c r="O192" s="92" t="s">
        <v>1789</v>
      </c>
      <c r="P192" s="92"/>
      <c r="Q192" s="92" t="s">
        <v>1796</v>
      </c>
      <c r="R192" s="92" t="s">
        <v>1794</v>
      </c>
      <c r="S192" s="133">
        <v>43770</v>
      </c>
      <c r="T192" s="133">
        <v>43770</v>
      </c>
      <c r="U192" s="92"/>
      <c r="V192" s="122">
        <v>0</v>
      </c>
      <c r="W192" s="122">
        <v>14050</v>
      </c>
      <c r="X192" s="113">
        <v>0</v>
      </c>
      <c r="Y192" s="122">
        <v>14056</v>
      </c>
      <c r="Z192" s="113">
        <v>0</v>
      </c>
      <c r="AA192" s="113">
        <v>0</v>
      </c>
      <c r="AB192" s="113">
        <v>0</v>
      </c>
      <c r="AC192" s="122">
        <v>54260</v>
      </c>
      <c r="AD192" s="113">
        <v>0</v>
      </c>
      <c r="AE192" s="122" t="s">
        <v>433</v>
      </c>
      <c r="AF192" s="92"/>
      <c r="AG192" s="92"/>
      <c r="AH192" s="92" t="s">
        <v>2</v>
      </c>
      <c r="AI192" s="92" t="s">
        <v>1785</v>
      </c>
      <c r="AJ192" s="92" t="s">
        <v>662</v>
      </c>
      <c r="AK192" s="92" t="s">
        <v>1779</v>
      </c>
      <c r="AL192" s="92">
        <v>0</v>
      </c>
      <c r="AM192" s="92">
        <v>0</v>
      </c>
    </row>
    <row r="193" spans="2:39">
      <c r="B193" s="122">
        <v>2149</v>
      </c>
      <c r="C193" s="132">
        <v>223090</v>
      </c>
      <c r="D193" s="122" t="s">
        <v>433</v>
      </c>
      <c r="E193" s="92" t="s">
        <v>1626</v>
      </c>
      <c r="F193" t="s">
        <v>1348</v>
      </c>
      <c r="I193" s="122">
        <v>6</v>
      </c>
      <c r="J193" s="92"/>
      <c r="K193" s="122">
        <v>0</v>
      </c>
      <c r="L193" s="92"/>
      <c r="M193" s="92"/>
      <c r="N193" s="92" t="s">
        <v>646</v>
      </c>
      <c r="O193" s="92" t="s">
        <v>1789</v>
      </c>
      <c r="P193" s="92"/>
      <c r="Q193" s="92" t="s">
        <v>1811</v>
      </c>
      <c r="R193" s="92" t="s">
        <v>1794</v>
      </c>
      <c r="S193" s="133">
        <v>43770</v>
      </c>
      <c r="T193" s="133">
        <v>43770</v>
      </c>
      <c r="U193" s="92"/>
      <c r="V193" s="122">
        <v>0</v>
      </c>
      <c r="W193" s="122">
        <v>14050</v>
      </c>
      <c r="X193" s="113">
        <v>0</v>
      </c>
      <c r="Y193" s="122">
        <v>14056</v>
      </c>
      <c r="Z193" s="113">
        <v>0</v>
      </c>
      <c r="AA193" s="113">
        <v>0</v>
      </c>
      <c r="AB193" s="113">
        <v>0</v>
      </c>
      <c r="AC193" s="122">
        <v>54260</v>
      </c>
      <c r="AD193" s="113">
        <v>0</v>
      </c>
      <c r="AE193" s="122" t="s">
        <v>433</v>
      </c>
      <c r="AF193" s="92"/>
      <c r="AG193" s="92"/>
      <c r="AH193" s="92" t="s">
        <v>2</v>
      </c>
      <c r="AI193" s="92" t="s">
        <v>1785</v>
      </c>
      <c r="AJ193" s="92" t="s">
        <v>662</v>
      </c>
      <c r="AK193" s="92" t="s">
        <v>1779</v>
      </c>
      <c r="AL193" s="92">
        <v>0</v>
      </c>
      <c r="AM193" s="92">
        <v>0</v>
      </c>
    </row>
    <row r="194" spans="2:39">
      <c r="B194" s="122">
        <v>2149</v>
      </c>
      <c r="C194" s="132">
        <v>223089</v>
      </c>
      <c r="D194" s="122" t="s">
        <v>433</v>
      </c>
      <c r="E194" s="92" t="s">
        <v>1626</v>
      </c>
      <c r="F194" t="s">
        <v>1780</v>
      </c>
      <c r="I194" s="122">
        <v>2</v>
      </c>
      <c r="J194" s="92"/>
      <c r="K194" s="122">
        <v>0</v>
      </c>
      <c r="L194" s="92"/>
      <c r="M194" s="92"/>
      <c r="N194" s="92" t="s">
        <v>646</v>
      </c>
      <c r="O194" s="92" t="s">
        <v>1789</v>
      </c>
      <c r="P194" s="92"/>
      <c r="Q194" s="92" t="s">
        <v>1811</v>
      </c>
      <c r="R194" s="92" t="s">
        <v>1794</v>
      </c>
      <c r="S194" s="133">
        <v>43770</v>
      </c>
      <c r="T194" s="133">
        <v>43770</v>
      </c>
      <c r="U194" s="92"/>
      <c r="V194" s="122">
        <v>0</v>
      </c>
      <c r="W194" s="122">
        <v>14050</v>
      </c>
      <c r="X194" s="113">
        <v>0</v>
      </c>
      <c r="Y194" s="122">
        <v>14056</v>
      </c>
      <c r="Z194" s="113">
        <v>0</v>
      </c>
      <c r="AA194" s="113">
        <v>0</v>
      </c>
      <c r="AB194" s="113">
        <v>0</v>
      </c>
      <c r="AC194" s="122">
        <v>54260</v>
      </c>
      <c r="AD194" s="113">
        <v>0</v>
      </c>
      <c r="AE194" s="122" t="s">
        <v>433</v>
      </c>
      <c r="AF194" s="92"/>
      <c r="AG194" s="92"/>
      <c r="AH194" s="92" t="s">
        <v>2</v>
      </c>
      <c r="AI194" s="92" t="s">
        <v>1785</v>
      </c>
      <c r="AJ194" s="92" t="s">
        <v>662</v>
      </c>
      <c r="AK194" s="92" t="s">
        <v>1779</v>
      </c>
      <c r="AL194" s="92">
        <v>0</v>
      </c>
      <c r="AM194" s="92">
        <v>0</v>
      </c>
    </row>
    <row r="195" spans="2:39">
      <c r="B195" s="122">
        <v>2149</v>
      </c>
      <c r="C195" s="132">
        <v>222641</v>
      </c>
      <c r="D195" s="122" t="s">
        <v>433</v>
      </c>
      <c r="E195" s="92" t="s">
        <v>1626</v>
      </c>
      <c r="F195" t="s">
        <v>1347</v>
      </c>
      <c r="I195" s="122">
        <v>288</v>
      </c>
      <c r="J195" s="92"/>
      <c r="K195" s="122">
        <v>0</v>
      </c>
      <c r="L195" s="92" t="s">
        <v>1199</v>
      </c>
      <c r="M195" s="92"/>
      <c r="N195" s="92" t="s">
        <v>646</v>
      </c>
      <c r="O195" s="92" t="s">
        <v>1789</v>
      </c>
      <c r="P195" s="92"/>
      <c r="Q195" s="92"/>
      <c r="R195" s="92"/>
      <c r="S195" s="133">
        <v>43763</v>
      </c>
      <c r="T195" s="133">
        <v>43763</v>
      </c>
      <c r="U195" s="92" t="s">
        <v>1345</v>
      </c>
      <c r="V195" s="122">
        <v>700</v>
      </c>
      <c r="W195" s="122">
        <v>14050</v>
      </c>
      <c r="X195" s="113">
        <v>12739.9</v>
      </c>
      <c r="Y195" s="122">
        <v>14056</v>
      </c>
      <c r="Z195" s="113">
        <v>8189.97</v>
      </c>
      <c r="AA195" s="113">
        <v>4549.9299999999994</v>
      </c>
      <c r="AB195" s="113">
        <v>606.67999999999995</v>
      </c>
      <c r="AC195" s="122">
        <v>54260</v>
      </c>
      <c r="AD195" s="113">
        <v>151.66999999999999</v>
      </c>
      <c r="AE195" s="122" t="s">
        <v>433</v>
      </c>
      <c r="AF195" s="92"/>
      <c r="AG195" s="92"/>
      <c r="AH195" s="92" t="s">
        <v>2</v>
      </c>
      <c r="AI195" s="92" t="s">
        <v>1785</v>
      </c>
      <c r="AJ195" s="92" t="s">
        <v>1787</v>
      </c>
      <c r="AK195" s="92" t="s">
        <v>1779</v>
      </c>
      <c r="AL195" s="92">
        <v>0</v>
      </c>
      <c r="AM195" s="92">
        <v>0</v>
      </c>
    </row>
    <row r="196" spans="2:39">
      <c r="B196" s="122">
        <v>2149</v>
      </c>
      <c r="C196" s="132">
        <v>222640</v>
      </c>
      <c r="D196" s="122" t="s">
        <v>433</v>
      </c>
      <c r="E196" s="92" t="s">
        <v>1626</v>
      </c>
      <c r="F196" t="s">
        <v>458</v>
      </c>
      <c r="I196" s="122">
        <v>288</v>
      </c>
      <c r="J196" s="92"/>
      <c r="K196" s="122">
        <v>0</v>
      </c>
      <c r="L196" s="92" t="s">
        <v>1199</v>
      </c>
      <c r="M196" s="92"/>
      <c r="N196" s="92" t="s">
        <v>646</v>
      </c>
      <c r="O196" s="92" t="s">
        <v>1789</v>
      </c>
      <c r="P196" s="92"/>
      <c r="Q196" s="92"/>
      <c r="R196" s="92"/>
      <c r="S196" s="133">
        <v>43763</v>
      </c>
      <c r="T196" s="133">
        <v>43763</v>
      </c>
      <c r="U196" s="92" t="s">
        <v>1345</v>
      </c>
      <c r="V196" s="122">
        <v>700</v>
      </c>
      <c r="W196" s="122">
        <v>14050</v>
      </c>
      <c r="X196" s="113">
        <v>12739.9</v>
      </c>
      <c r="Y196" s="122">
        <v>14056</v>
      </c>
      <c r="Z196" s="113">
        <v>8189.97</v>
      </c>
      <c r="AA196" s="113">
        <v>4549.9299999999994</v>
      </c>
      <c r="AB196" s="113">
        <v>606.67999999999995</v>
      </c>
      <c r="AC196" s="122">
        <v>54260</v>
      </c>
      <c r="AD196" s="113">
        <v>151.66999999999999</v>
      </c>
      <c r="AE196" s="122" t="s">
        <v>433</v>
      </c>
      <c r="AF196" s="92"/>
      <c r="AG196" s="92"/>
      <c r="AH196" s="92" t="s">
        <v>2</v>
      </c>
      <c r="AI196" s="92" t="s">
        <v>1785</v>
      </c>
      <c r="AJ196" s="92" t="s">
        <v>1787</v>
      </c>
      <c r="AK196" s="92" t="s">
        <v>1779</v>
      </c>
      <c r="AL196" s="92">
        <v>0</v>
      </c>
      <c r="AM196" s="92">
        <v>0</v>
      </c>
    </row>
    <row r="197" spans="2:39">
      <c r="B197" s="122">
        <v>2149</v>
      </c>
      <c r="C197" s="132">
        <v>222639</v>
      </c>
      <c r="D197" s="122" t="s">
        <v>433</v>
      </c>
      <c r="E197" s="92" t="s">
        <v>1626</v>
      </c>
      <c r="F197" t="s">
        <v>1346</v>
      </c>
      <c r="I197" s="122">
        <v>100</v>
      </c>
      <c r="J197" s="92"/>
      <c r="K197" s="122">
        <v>0</v>
      </c>
      <c r="L197" s="92" t="s">
        <v>1199</v>
      </c>
      <c r="M197" s="92"/>
      <c r="N197" s="92" t="s">
        <v>646</v>
      </c>
      <c r="O197" s="92" t="s">
        <v>1789</v>
      </c>
      <c r="P197" s="92"/>
      <c r="Q197" s="92"/>
      <c r="R197" s="92"/>
      <c r="S197" s="133">
        <v>43763</v>
      </c>
      <c r="T197" s="133">
        <v>43763</v>
      </c>
      <c r="U197" s="92" t="s">
        <v>1345</v>
      </c>
      <c r="V197" s="122">
        <v>700</v>
      </c>
      <c r="W197" s="122">
        <v>14050</v>
      </c>
      <c r="X197" s="113">
        <v>4823.57</v>
      </c>
      <c r="Y197" s="122">
        <v>14056</v>
      </c>
      <c r="Z197" s="113">
        <v>3100.81</v>
      </c>
      <c r="AA197" s="113">
        <v>1722.7599999999998</v>
      </c>
      <c r="AB197" s="113">
        <v>229.68</v>
      </c>
      <c r="AC197" s="122">
        <v>54260</v>
      </c>
      <c r="AD197" s="113">
        <v>57.42</v>
      </c>
      <c r="AE197" s="122" t="s">
        <v>433</v>
      </c>
      <c r="AF197" s="92"/>
      <c r="AG197" s="92"/>
      <c r="AH197" s="92" t="s">
        <v>2</v>
      </c>
      <c r="AI197" s="92" t="s">
        <v>1785</v>
      </c>
      <c r="AJ197" s="92" t="s">
        <v>1787</v>
      </c>
      <c r="AK197" s="92" t="s">
        <v>1779</v>
      </c>
      <c r="AL197" s="92">
        <v>0</v>
      </c>
      <c r="AM197" s="92">
        <v>0</v>
      </c>
    </row>
    <row r="198" spans="2:39">
      <c r="B198" s="122">
        <v>2149</v>
      </c>
      <c r="C198" s="132">
        <v>222638</v>
      </c>
      <c r="D198" s="122" t="s">
        <v>433</v>
      </c>
      <c r="E198" s="92" t="s">
        <v>1626</v>
      </c>
      <c r="F198" t="s">
        <v>456</v>
      </c>
      <c r="I198" s="122">
        <v>100</v>
      </c>
      <c r="J198" s="92"/>
      <c r="K198" s="122">
        <v>0</v>
      </c>
      <c r="L198" s="92" t="s">
        <v>1199</v>
      </c>
      <c r="M198" s="92"/>
      <c r="N198" s="92" t="s">
        <v>646</v>
      </c>
      <c r="O198" s="92" t="s">
        <v>1789</v>
      </c>
      <c r="P198" s="92"/>
      <c r="Q198" s="92"/>
      <c r="R198" s="92"/>
      <c r="S198" s="133">
        <v>43763</v>
      </c>
      <c r="T198" s="133">
        <v>43763</v>
      </c>
      <c r="U198" s="92" t="s">
        <v>1345</v>
      </c>
      <c r="V198" s="122">
        <v>700</v>
      </c>
      <c r="W198" s="122">
        <v>14050</v>
      </c>
      <c r="X198" s="113">
        <v>4323.58</v>
      </c>
      <c r="Y198" s="122">
        <v>14056</v>
      </c>
      <c r="Z198" s="113">
        <v>2779.46</v>
      </c>
      <c r="AA198" s="113">
        <v>1544.12</v>
      </c>
      <c r="AB198" s="113">
        <v>205.88</v>
      </c>
      <c r="AC198" s="122">
        <v>54260</v>
      </c>
      <c r="AD198" s="113">
        <v>51.47</v>
      </c>
      <c r="AE198" s="122" t="s">
        <v>433</v>
      </c>
      <c r="AF198" s="92"/>
      <c r="AG198" s="92"/>
      <c r="AH198" s="92" t="s">
        <v>2</v>
      </c>
      <c r="AI198" s="92" t="s">
        <v>1785</v>
      </c>
      <c r="AJ198" s="92" t="s">
        <v>1787</v>
      </c>
      <c r="AK198" s="92" t="s">
        <v>1779</v>
      </c>
      <c r="AL198" s="92">
        <v>0</v>
      </c>
      <c r="AM198" s="92">
        <v>0</v>
      </c>
    </row>
    <row r="199" spans="2:39">
      <c r="B199" s="122">
        <v>2149</v>
      </c>
      <c r="C199" s="132">
        <v>222159</v>
      </c>
      <c r="D199" s="122">
        <v>219750</v>
      </c>
      <c r="E199" s="92" t="s">
        <v>1626</v>
      </c>
      <c r="F199" t="s">
        <v>1344</v>
      </c>
      <c r="I199" s="122">
        <v>1</v>
      </c>
      <c r="J199" s="92"/>
      <c r="K199" s="122">
        <v>2019</v>
      </c>
      <c r="L199" s="92" t="s">
        <v>1343</v>
      </c>
      <c r="M199" s="92"/>
      <c r="N199" s="92" t="s">
        <v>1788</v>
      </c>
      <c r="O199" s="92" t="s">
        <v>1789</v>
      </c>
      <c r="P199" s="92" t="s">
        <v>683</v>
      </c>
      <c r="Q199" s="92"/>
      <c r="R199" s="92"/>
      <c r="S199" s="133">
        <v>43726</v>
      </c>
      <c r="T199" s="133">
        <v>43726</v>
      </c>
      <c r="U199" s="92" t="s">
        <v>1342</v>
      </c>
      <c r="V199" s="122">
        <v>1000</v>
      </c>
      <c r="W199" s="122">
        <v>14040</v>
      </c>
      <c r="X199" s="113">
        <v>1251.45</v>
      </c>
      <c r="Y199" s="122">
        <v>14046</v>
      </c>
      <c r="Z199" s="113">
        <v>573.61</v>
      </c>
      <c r="AA199" s="113">
        <v>677.84</v>
      </c>
      <c r="AB199" s="113">
        <v>41.72</v>
      </c>
      <c r="AC199" s="122">
        <v>51260</v>
      </c>
      <c r="AD199" s="113">
        <v>10.43</v>
      </c>
      <c r="AE199" s="122" t="s">
        <v>433</v>
      </c>
      <c r="AF199" s="92"/>
      <c r="AG199" s="92"/>
      <c r="AH199" s="92" t="s">
        <v>2</v>
      </c>
      <c r="AI199" s="92" t="s">
        <v>1785</v>
      </c>
      <c r="AJ199" s="92" t="s">
        <v>1787</v>
      </c>
      <c r="AK199" s="92" t="s">
        <v>1779</v>
      </c>
      <c r="AL199" s="92">
        <v>0</v>
      </c>
      <c r="AM199" s="92">
        <v>0</v>
      </c>
    </row>
    <row r="200" spans="2:39">
      <c r="B200" s="122">
        <v>2149</v>
      </c>
      <c r="C200" s="132">
        <v>222118</v>
      </c>
      <c r="D200" s="122" t="s">
        <v>433</v>
      </c>
      <c r="E200" s="92" t="s">
        <v>1626</v>
      </c>
      <c r="F200" t="s">
        <v>1341</v>
      </c>
      <c r="I200" s="122">
        <v>1</v>
      </c>
      <c r="J200" s="92" t="s">
        <v>1340</v>
      </c>
      <c r="K200" s="122">
        <v>1990</v>
      </c>
      <c r="L200" s="92" t="s">
        <v>1339</v>
      </c>
      <c r="M200" s="92" t="s">
        <v>1339</v>
      </c>
      <c r="N200" s="92" t="s">
        <v>1788</v>
      </c>
      <c r="O200" s="92" t="s">
        <v>1789</v>
      </c>
      <c r="P200" s="92" t="s">
        <v>1338</v>
      </c>
      <c r="Q200" s="92"/>
      <c r="R200" s="92"/>
      <c r="S200" s="133">
        <v>39755</v>
      </c>
      <c r="T200" s="133">
        <v>39755</v>
      </c>
      <c r="U200" s="92"/>
      <c r="V200" s="122">
        <v>300</v>
      </c>
      <c r="W200" s="122">
        <v>14040</v>
      </c>
      <c r="X200" s="113">
        <v>2500</v>
      </c>
      <c r="Y200" s="122">
        <v>14046</v>
      </c>
      <c r="Z200" s="113">
        <v>2500</v>
      </c>
      <c r="AA200" s="113">
        <v>0</v>
      </c>
      <c r="AB200" s="113">
        <v>0</v>
      </c>
      <c r="AC200" s="122">
        <v>51260</v>
      </c>
      <c r="AD200" s="113">
        <v>0</v>
      </c>
      <c r="AE200" s="122" t="s">
        <v>663</v>
      </c>
      <c r="AF200" s="92" t="s">
        <v>905</v>
      </c>
      <c r="AG200" s="92">
        <v>9979</v>
      </c>
      <c r="AH200" s="92" t="s">
        <v>2</v>
      </c>
      <c r="AI200" s="92" t="s">
        <v>1785</v>
      </c>
      <c r="AJ200" s="92" t="s">
        <v>1787</v>
      </c>
      <c r="AK200" s="92" t="s">
        <v>1779</v>
      </c>
      <c r="AL200" s="92">
        <v>0</v>
      </c>
      <c r="AM200" s="92">
        <v>0</v>
      </c>
    </row>
    <row r="201" spans="2:39">
      <c r="B201" s="122">
        <v>2149</v>
      </c>
      <c r="C201" s="132">
        <v>221707</v>
      </c>
      <c r="D201" s="122" t="s">
        <v>433</v>
      </c>
      <c r="E201" s="92" t="s">
        <v>1626</v>
      </c>
      <c r="F201" t="s">
        <v>1336</v>
      </c>
      <c r="I201" s="122">
        <v>2</v>
      </c>
      <c r="J201" s="92"/>
      <c r="K201" s="122">
        <v>0</v>
      </c>
      <c r="L201" s="92" t="s">
        <v>1245</v>
      </c>
      <c r="M201" s="92"/>
      <c r="N201" s="92" t="s">
        <v>646</v>
      </c>
      <c r="O201" s="92" t="s">
        <v>1789</v>
      </c>
      <c r="P201" s="92"/>
      <c r="Q201" s="92" t="s">
        <v>1793</v>
      </c>
      <c r="R201" s="92" t="s">
        <v>1794</v>
      </c>
      <c r="S201" s="133">
        <v>43739</v>
      </c>
      <c r="T201" s="133">
        <v>43739</v>
      </c>
      <c r="U201" s="92" t="s">
        <v>1335</v>
      </c>
      <c r="V201" s="122">
        <v>1200</v>
      </c>
      <c r="W201" s="122">
        <v>14050</v>
      </c>
      <c r="X201" s="113">
        <v>9943.5</v>
      </c>
      <c r="Y201" s="122">
        <v>14056</v>
      </c>
      <c r="Z201" s="113">
        <v>3797.88</v>
      </c>
      <c r="AA201" s="113">
        <v>6145.62</v>
      </c>
      <c r="AB201" s="113">
        <v>276.2</v>
      </c>
      <c r="AC201" s="122">
        <v>54260</v>
      </c>
      <c r="AD201" s="113">
        <v>69.05</v>
      </c>
      <c r="AE201" s="122" t="s">
        <v>433</v>
      </c>
      <c r="AF201" s="92"/>
      <c r="AG201" s="92"/>
      <c r="AH201" s="92" t="s">
        <v>2</v>
      </c>
      <c r="AI201" s="92" t="s">
        <v>1785</v>
      </c>
      <c r="AJ201" s="92" t="s">
        <v>1787</v>
      </c>
      <c r="AK201" s="92" t="s">
        <v>1779</v>
      </c>
      <c r="AL201" s="92">
        <v>0</v>
      </c>
      <c r="AM201" s="92">
        <v>0</v>
      </c>
    </row>
    <row r="202" spans="2:39">
      <c r="B202" s="122">
        <v>2149</v>
      </c>
      <c r="C202" s="132">
        <v>221706</v>
      </c>
      <c r="D202" s="122" t="s">
        <v>433</v>
      </c>
      <c r="E202" s="92" t="s">
        <v>1626</v>
      </c>
      <c r="F202" t="s">
        <v>1337</v>
      </c>
      <c r="I202" s="122">
        <v>3</v>
      </c>
      <c r="J202" s="92"/>
      <c r="K202" s="122">
        <v>0</v>
      </c>
      <c r="L202" s="92" t="s">
        <v>1245</v>
      </c>
      <c r="M202" s="92"/>
      <c r="N202" s="92" t="s">
        <v>646</v>
      </c>
      <c r="O202" s="92" t="s">
        <v>1789</v>
      </c>
      <c r="P202" s="92"/>
      <c r="Q202" s="92" t="s">
        <v>1796</v>
      </c>
      <c r="R202" s="92" t="s">
        <v>1794</v>
      </c>
      <c r="S202" s="133">
        <v>43739</v>
      </c>
      <c r="T202" s="133">
        <v>43739</v>
      </c>
      <c r="U202" s="92" t="s">
        <v>1335</v>
      </c>
      <c r="V202" s="122">
        <v>1200</v>
      </c>
      <c r="W202" s="122">
        <v>14050</v>
      </c>
      <c r="X202" s="113">
        <v>11468.25</v>
      </c>
      <c r="Y202" s="122">
        <v>14056</v>
      </c>
      <c r="Z202" s="113">
        <v>4380.24</v>
      </c>
      <c r="AA202" s="113">
        <v>7088.01</v>
      </c>
      <c r="AB202" s="113">
        <v>318.56</v>
      </c>
      <c r="AC202" s="122">
        <v>54260</v>
      </c>
      <c r="AD202" s="113">
        <v>79.64</v>
      </c>
      <c r="AE202" s="122" t="s">
        <v>433</v>
      </c>
      <c r="AF202" s="92"/>
      <c r="AG202" s="92"/>
      <c r="AH202" s="92" t="s">
        <v>2</v>
      </c>
      <c r="AI202" s="92" t="s">
        <v>1785</v>
      </c>
      <c r="AJ202" s="92" t="s">
        <v>1787</v>
      </c>
      <c r="AK202" s="92" t="s">
        <v>1779</v>
      </c>
      <c r="AL202" s="92">
        <v>0</v>
      </c>
      <c r="AM202" s="92">
        <v>0</v>
      </c>
    </row>
    <row r="203" spans="2:39">
      <c r="B203" s="122">
        <v>2149</v>
      </c>
      <c r="C203" s="132">
        <v>221705</v>
      </c>
      <c r="D203" s="122" t="s">
        <v>433</v>
      </c>
      <c r="E203" s="92" t="s">
        <v>1626</v>
      </c>
      <c r="F203" t="s">
        <v>1336</v>
      </c>
      <c r="I203" s="122">
        <v>1</v>
      </c>
      <c r="J203" s="92"/>
      <c r="K203" s="122">
        <v>0</v>
      </c>
      <c r="L203" s="92" t="s">
        <v>1245</v>
      </c>
      <c r="M203" s="92"/>
      <c r="N203" s="92" t="s">
        <v>646</v>
      </c>
      <c r="O203" s="92" t="s">
        <v>1789</v>
      </c>
      <c r="P203" s="92"/>
      <c r="Q203" s="92" t="s">
        <v>1793</v>
      </c>
      <c r="R203" s="92" t="s">
        <v>1794</v>
      </c>
      <c r="S203" s="133">
        <v>43739</v>
      </c>
      <c r="T203" s="133">
        <v>43739</v>
      </c>
      <c r="U203" s="92" t="s">
        <v>1335</v>
      </c>
      <c r="V203" s="122">
        <v>1200</v>
      </c>
      <c r="W203" s="122">
        <v>14050</v>
      </c>
      <c r="X203" s="113">
        <v>4971.75</v>
      </c>
      <c r="Y203" s="122">
        <v>14056</v>
      </c>
      <c r="Z203" s="113">
        <v>1898.94</v>
      </c>
      <c r="AA203" s="113">
        <v>3072.81</v>
      </c>
      <c r="AB203" s="113">
        <v>138.12</v>
      </c>
      <c r="AC203" s="122">
        <v>54260</v>
      </c>
      <c r="AD203" s="113">
        <v>34.53</v>
      </c>
      <c r="AE203" s="122" t="s">
        <v>433</v>
      </c>
      <c r="AF203" s="92"/>
      <c r="AG203" s="92"/>
      <c r="AH203" s="92" t="s">
        <v>2</v>
      </c>
      <c r="AI203" s="92" t="s">
        <v>1785</v>
      </c>
      <c r="AJ203" s="92" t="s">
        <v>1787</v>
      </c>
      <c r="AK203" s="92" t="s">
        <v>1779</v>
      </c>
      <c r="AL203" s="92">
        <v>0</v>
      </c>
      <c r="AM203" s="92">
        <v>0</v>
      </c>
    </row>
    <row r="204" spans="2:39">
      <c r="B204" s="122">
        <v>2149</v>
      </c>
      <c r="C204" s="132">
        <v>221704</v>
      </c>
      <c r="D204" s="122" t="s">
        <v>433</v>
      </c>
      <c r="E204" s="92" t="s">
        <v>1626</v>
      </c>
      <c r="F204" t="s">
        <v>1336</v>
      </c>
      <c r="I204" s="122">
        <v>2</v>
      </c>
      <c r="J204" s="92"/>
      <c r="K204" s="122">
        <v>0</v>
      </c>
      <c r="L204" s="92" t="s">
        <v>1245</v>
      </c>
      <c r="M204" s="92"/>
      <c r="N204" s="92" t="s">
        <v>646</v>
      </c>
      <c r="O204" s="92" t="s">
        <v>1789</v>
      </c>
      <c r="P204" s="92"/>
      <c r="Q204" s="92" t="s">
        <v>1793</v>
      </c>
      <c r="R204" s="92" t="s">
        <v>1794</v>
      </c>
      <c r="S204" s="133">
        <v>43739</v>
      </c>
      <c r="T204" s="133">
        <v>43739</v>
      </c>
      <c r="U204" s="92" t="s">
        <v>1335</v>
      </c>
      <c r="V204" s="122">
        <v>1200</v>
      </c>
      <c r="W204" s="122">
        <v>14050</v>
      </c>
      <c r="X204" s="113">
        <v>9943.5</v>
      </c>
      <c r="Y204" s="122">
        <v>14056</v>
      </c>
      <c r="Z204" s="113">
        <v>3797.88</v>
      </c>
      <c r="AA204" s="113">
        <v>6145.62</v>
      </c>
      <c r="AB204" s="113">
        <v>276.2</v>
      </c>
      <c r="AC204" s="122">
        <v>54260</v>
      </c>
      <c r="AD204" s="113">
        <v>69.05</v>
      </c>
      <c r="AE204" s="122" t="s">
        <v>433</v>
      </c>
      <c r="AF204" s="92"/>
      <c r="AG204" s="92"/>
      <c r="AH204" s="92" t="s">
        <v>2</v>
      </c>
      <c r="AI204" s="92" t="s">
        <v>1785</v>
      </c>
      <c r="AJ204" s="92" t="s">
        <v>1787</v>
      </c>
      <c r="AK204" s="92" t="s">
        <v>1779</v>
      </c>
      <c r="AL204" s="92">
        <v>0</v>
      </c>
      <c r="AM204" s="92">
        <v>0</v>
      </c>
    </row>
    <row r="205" spans="2:39">
      <c r="B205" s="122">
        <v>2149</v>
      </c>
      <c r="C205" s="132">
        <v>221703</v>
      </c>
      <c r="D205" s="122" t="s">
        <v>433</v>
      </c>
      <c r="E205" s="92" t="s">
        <v>1626</v>
      </c>
      <c r="F205" t="s">
        <v>1334</v>
      </c>
      <c r="I205" s="122">
        <v>3</v>
      </c>
      <c r="J205" s="92"/>
      <c r="K205" s="122">
        <v>0</v>
      </c>
      <c r="L205" s="92" t="s">
        <v>1332</v>
      </c>
      <c r="M205" s="92"/>
      <c r="N205" s="92" t="s">
        <v>646</v>
      </c>
      <c r="O205" s="92" t="s">
        <v>1789</v>
      </c>
      <c r="P205" s="92"/>
      <c r="Q205" s="92" t="s">
        <v>1793</v>
      </c>
      <c r="R205" s="92" t="s">
        <v>1794</v>
      </c>
      <c r="S205" s="133">
        <v>43752</v>
      </c>
      <c r="T205" s="133">
        <v>43752</v>
      </c>
      <c r="U205" s="92" t="s">
        <v>1331</v>
      </c>
      <c r="V205" s="122">
        <v>1200</v>
      </c>
      <c r="W205" s="122">
        <v>14050</v>
      </c>
      <c r="X205" s="113">
        <v>16171.7</v>
      </c>
      <c r="Y205" s="122">
        <v>14056</v>
      </c>
      <c r="Z205" s="113">
        <v>6176.67</v>
      </c>
      <c r="AA205" s="113">
        <v>9995.0300000000007</v>
      </c>
      <c r="AB205" s="113">
        <v>449.2</v>
      </c>
      <c r="AC205" s="122">
        <v>54260</v>
      </c>
      <c r="AD205" s="113">
        <v>112.3</v>
      </c>
      <c r="AE205" s="122" t="s">
        <v>433</v>
      </c>
      <c r="AF205" s="92"/>
      <c r="AG205" s="92"/>
      <c r="AH205" s="92" t="s">
        <v>2</v>
      </c>
      <c r="AI205" s="92" t="s">
        <v>1785</v>
      </c>
      <c r="AJ205" s="92" t="s">
        <v>1787</v>
      </c>
      <c r="AK205" s="92" t="s">
        <v>1779</v>
      </c>
      <c r="AL205" s="92">
        <v>0</v>
      </c>
      <c r="AM205" s="92">
        <v>0</v>
      </c>
    </row>
    <row r="206" spans="2:39">
      <c r="B206" s="122">
        <v>2149</v>
      </c>
      <c r="C206" s="132">
        <v>221702</v>
      </c>
      <c r="D206" s="122" t="s">
        <v>433</v>
      </c>
      <c r="E206" s="92" t="s">
        <v>1626</v>
      </c>
      <c r="F206" t="s">
        <v>1333</v>
      </c>
      <c r="I206" s="122">
        <v>6</v>
      </c>
      <c r="J206" s="92"/>
      <c r="K206" s="122">
        <v>0</v>
      </c>
      <c r="L206" s="92" t="s">
        <v>1332</v>
      </c>
      <c r="M206" s="92"/>
      <c r="N206" s="92" t="s">
        <v>646</v>
      </c>
      <c r="O206" s="92" t="s">
        <v>1789</v>
      </c>
      <c r="P206" s="92"/>
      <c r="Q206" s="92" t="s">
        <v>1796</v>
      </c>
      <c r="R206" s="92" t="s">
        <v>1794</v>
      </c>
      <c r="S206" s="133">
        <v>43752</v>
      </c>
      <c r="T206" s="133">
        <v>43752</v>
      </c>
      <c r="U206" s="92" t="s">
        <v>1331</v>
      </c>
      <c r="V206" s="122">
        <v>1200</v>
      </c>
      <c r="W206" s="122">
        <v>14050</v>
      </c>
      <c r="X206" s="113">
        <v>26752.65</v>
      </c>
      <c r="Y206" s="122">
        <v>14056</v>
      </c>
      <c r="Z206" s="113">
        <v>10218.030000000001</v>
      </c>
      <c r="AA206" s="113">
        <v>16534.620000000003</v>
      </c>
      <c r="AB206" s="113">
        <v>743.12</v>
      </c>
      <c r="AC206" s="122">
        <v>54260</v>
      </c>
      <c r="AD206" s="113">
        <v>185.78</v>
      </c>
      <c r="AE206" s="122" t="s">
        <v>433</v>
      </c>
      <c r="AF206" s="92"/>
      <c r="AG206" s="92"/>
      <c r="AH206" s="92" t="s">
        <v>2</v>
      </c>
      <c r="AI206" s="92" t="s">
        <v>1785</v>
      </c>
      <c r="AJ206" s="92" t="s">
        <v>1787</v>
      </c>
      <c r="AK206" s="92" t="s">
        <v>1779</v>
      </c>
      <c r="AL206" s="92">
        <v>0</v>
      </c>
      <c r="AM206" s="92">
        <v>0</v>
      </c>
    </row>
    <row r="207" spans="2:39">
      <c r="B207" s="122">
        <v>2149</v>
      </c>
      <c r="C207" s="132">
        <v>220354</v>
      </c>
      <c r="D207" s="122" t="s">
        <v>433</v>
      </c>
      <c r="E207" s="92" t="s">
        <v>1626</v>
      </c>
      <c r="F207" t="s">
        <v>547</v>
      </c>
      <c r="I207" s="122">
        <v>86</v>
      </c>
      <c r="J207" s="92"/>
      <c r="K207" s="122">
        <v>0</v>
      </c>
      <c r="L207" s="92" t="s">
        <v>1330</v>
      </c>
      <c r="M207" s="92"/>
      <c r="N207" s="92" t="s">
        <v>646</v>
      </c>
      <c r="O207" s="92" t="s">
        <v>1789</v>
      </c>
      <c r="P207" s="92"/>
      <c r="Q207" s="92"/>
      <c r="R207" s="92"/>
      <c r="S207" s="133">
        <v>43493</v>
      </c>
      <c r="T207" s="133">
        <v>43493</v>
      </c>
      <c r="U207" s="92" t="s">
        <v>1329</v>
      </c>
      <c r="V207" s="122">
        <v>700</v>
      </c>
      <c r="W207" s="122">
        <v>14050</v>
      </c>
      <c r="X207" s="113">
        <v>37416.01</v>
      </c>
      <c r="Y207" s="122">
        <v>14056</v>
      </c>
      <c r="Z207" s="113">
        <v>28062.04</v>
      </c>
      <c r="AA207" s="113">
        <v>9353.9700000000012</v>
      </c>
      <c r="AB207" s="113">
        <v>1781.72</v>
      </c>
      <c r="AC207" s="122">
        <v>54260</v>
      </c>
      <c r="AD207" s="113">
        <v>445.43</v>
      </c>
      <c r="AE207" s="122" t="s">
        <v>433</v>
      </c>
      <c r="AF207" s="92"/>
      <c r="AG207" s="92"/>
      <c r="AH207" s="92" t="s">
        <v>2</v>
      </c>
      <c r="AI207" s="92" t="s">
        <v>1785</v>
      </c>
      <c r="AJ207" s="92" t="s">
        <v>1787</v>
      </c>
      <c r="AK207" s="92" t="s">
        <v>1779</v>
      </c>
      <c r="AL207" s="92">
        <v>0</v>
      </c>
      <c r="AM207" s="92">
        <v>0</v>
      </c>
    </row>
    <row r="208" spans="2:39">
      <c r="B208" s="122">
        <v>2149</v>
      </c>
      <c r="C208" s="132">
        <v>219750</v>
      </c>
      <c r="D208" s="122" t="s">
        <v>433</v>
      </c>
      <c r="E208" s="92" t="s">
        <v>1626</v>
      </c>
      <c r="F208" t="s">
        <v>537</v>
      </c>
      <c r="I208" s="122">
        <v>1</v>
      </c>
      <c r="J208" s="92" t="s">
        <v>608</v>
      </c>
      <c r="K208" s="122">
        <v>2019</v>
      </c>
      <c r="L208" s="92" t="s">
        <v>1146</v>
      </c>
      <c r="M208" s="92" t="s">
        <v>854</v>
      </c>
      <c r="N208" s="92" t="s">
        <v>1788</v>
      </c>
      <c r="O208" s="92" t="s">
        <v>1789</v>
      </c>
      <c r="P208" s="92" t="s">
        <v>1814</v>
      </c>
      <c r="Q208" s="92"/>
      <c r="R208" s="92"/>
      <c r="S208" s="133">
        <v>43726</v>
      </c>
      <c r="T208" s="133">
        <v>43726</v>
      </c>
      <c r="U208" s="92" t="s">
        <v>1328</v>
      </c>
      <c r="V208" s="122">
        <v>1000</v>
      </c>
      <c r="W208" s="122">
        <v>14040</v>
      </c>
      <c r="X208" s="113">
        <v>358392.24</v>
      </c>
      <c r="Y208" s="122">
        <v>14046</v>
      </c>
      <c r="Z208" s="113">
        <v>164263.09</v>
      </c>
      <c r="AA208" s="113">
        <v>194129.15</v>
      </c>
      <c r="AB208" s="113">
        <v>11946.4</v>
      </c>
      <c r="AC208" s="122">
        <v>51260</v>
      </c>
      <c r="AD208" s="113">
        <v>2986.6</v>
      </c>
      <c r="AE208" s="122" t="s">
        <v>433</v>
      </c>
      <c r="AF208" s="92"/>
      <c r="AG208" s="92">
        <v>45</v>
      </c>
      <c r="AH208" s="92" t="s">
        <v>2</v>
      </c>
      <c r="AI208" s="92" t="s">
        <v>1785</v>
      </c>
      <c r="AJ208" s="92" t="s">
        <v>1787</v>
      </c>
      <c r="AK208" s="92" t="s">
        <v>1779</v>
      </c>
      <c r="AL208" s="92">
        <v>0</v>
      </c>
      <c r="AM208" s="92">
        <v>0</v>
      </c>
    </row>
    <row r="209" spans="2:39">
      <c r="B209" s="122">
        <v>2149</v>
      </c>
      <c r="C209" s="132">
        <v>217681</v>
      </c>
      <c r="D209" s="122" t="s">
        <v>433</v>
      </c>
      <c r="E209" s="92" t="s">
        <v>1626</v>
      </c>
      <c r="F209" t="s">
        <v>458</v>
      </c>
      <c r="I209" s="122">
        <v>288</v>
      </c>
      <c r="J209" s="92"/>
      <c r="K209" s="122">
        <v>0</v>
      </c>
      <c r="L209" s="92" t="s">
        <v>1199</v>
      </c>
      <c r="M209" s="92"/>
      <c r="N209" s="92" t="s">
        <v>646</v>
      </c>
      <c r="O209" s="92" t="s">
        <v>1789</v>
      </c>
      <c r="P209" s="92"/>
      <c r="Q209" s="92"/>
      <c r="R209" s="92"/>
      <c r="S209" s="133">
        <v>43670</v>
      </c>
      <c r="T209" s="133">
        <v>43670</v>
      </c>
      <c r="U209" s="92" t="s">
        <v>1327</v>
      </c>
      <c r="V209" s="122">
        <v>700</v>
      </c>
      <c r="W209" s="122">
        <v>14050</v>
      </c>
      <c r="X209" s="113">
        <v>13170.34</v>
      </c>
      <c r="Y209" s="122">
        <v>14056</v>
      </c>
      <c r="Z209" s="113">
        <v>8937.0300000000007</v>
      </c>
      <c r="AA209" s="113">
        <v>4233.3099999999995</v>
      </c>
      <c r="AB209" s="113">
        <v>627.16</v>
      </c>
      <c r="AC209" s="122">
        <v>54260</v>
      </c>
      <c r="AD209" s="113">
        <v>156.79</v>
      </c>
      <c r="AE209" s="122" t="s">
        <v>433</v>
      </c>
      <c r="AF209" s="92"/>
      <c r="AG209" s="92"/>
      <c r="AH209" s="92" t="s">
        <v>2</v>
      </c>
      <c r="AI209" s="92" t="s">
        <v>1785</v>
      </c>
      <c r="AJ209" s="92" t="s">
        <v>1787</v>
      </c>
      <c r="AK209" s="92" t="s">
        <v>1779</v>
      </c>
      <c r="AL209" s="92">
        <v>0</v>
      </c>
      <c r="AM209" s="92">
        <v>0</v>
      </c>
    </row>
    <row r="210" spans="2:39">
      <c r="B210" s="122">
        <v>2149</v>
      </c>
      <c r="C210" s="132">
        <v>217680</v>
      </c>
      <c r="D210" s="122" t="s">
        <v>433</v>
      </c>
      <c r="E210" s="92" t="s">
        <v>1626</v>
      </c>
      <c r="F210" t="s">
        <v>456</v>
      </c>
      <c r="I210" s="122">
        <v>288</v>
      </c>
      <c r="J210" s="92"/>
      <c r="K210" s="122">
        <v>0</v>
      </c>
      <c r="L210" s="92" t="s">
        <v>1199</v>
      </c>
      <c r="M210" s="92"/>
      <c r="N210" s="92" t="s">
        <v>646</v>
      </c>
      <c r="O210" s="92" t="s">
        <v>1789</v>
      </c>
      <c r="P210" s="92"/>
      <c r="Q210" s="92"/>
      <c r="R210" s="92"/>
      <c r="S210" s="133">
        <v>43670</v>
      </c>
      <c r="T210" s="133">
        <v>43670</v>
      </c>
      <c r="U210" s="92" t="s">
        <v>1327</v>
      </c>
      <c r="V210" s="122">
        <v>700</v>
      </c>
      <c r="W210" s="122">
        <v>14050</v>
      </c>
      <c r="X210" s="113">
        <v>12810.33</v>
      </c>
      <c r="Y210" s="122">
        <v>14056</v>
      </c>
      <c r="Z210" s="113">
        <v>8692.7199999999993</v>
      </c>
      <c r="AA210" s="113">
        <v>4117.6100000000006</v>
      </c>
      <c r="AB210" s="113">
        <v>610</v>
      </c>
      <c r="AC210" s="122">
        <v>54260</v>
      </c>
      <c r="AD210" s="113">
        <v>152.5</v>
      </c>
      <c r="AE210" s="122" t="s">
        <v>433</v>
      </c>
      <c r="AF210" s="92"/>
      <c r="AG210" s="92"/>
      <c r="AH210" s="92" t="s">
        <v>2</v>
      </c>
      <c r="AI210" s="92" t="s">
        <v>1785</v>
      </c>
      <c r="AJ210" s="92" t="s">
        <v>1787</v>
      </c>
      <c r="AK210" s="92" t="s">
        <v>1779</v>
      </c>
      <c r="AL210" s="92">
        <v>0</v>
      </c>
      <c r="AM210" s="92">
        <v>0</v>
      </c>
    </row>
    <row r="211" spans="2:39">
      <c r="B211" s="122">
        <v>2149</v>
      </c>
      <c r="C211" s="132">
        <v>217679</v>
      </c>
      <c r="D211" s="122" t="s">
        <v>433</v>
      </c>
      <c r="E211" s="92" t="s">
        <v>1626</v>
      </c>
      <c r="F211" t="s">
        <v>464</v>
      </c>
      <c r="I211" s="122">
        <v>824</v>
      </c>
      <c r="J211" s="92"/>
      <c r="K211" s="122">
        <v>0</v>
      </c>
      <c r="L211" s="92" t="s">
        <v>1199</v>
      </c>
      <c r="M211" s="92"/>
      <c r="N211" s="92" t="s">
        <v>646</v>
      </c>
      <c r="O211" s="92" t="s">
        <v>1789</v>
      </c>
      <c r="P211" s="92"/>
      <c r="Q211" s="92"/>
      <c r="R211" s="92"/>
      <c r="S211" s="133">
        <v>43670</v>
      </c>
      <c r="T211" s="133">
        <v>43670</v>
      </c>
      <c r="U211" s="92" t="s">
        <v>1327</v>
      </c>
      <c r="V211" s="122">
        <v>700</v>
      </c>
      <c r="W211" s="122">
        <v>14050</v>
      </c>
      <c r="X211" s="113">
        <v>41754.129999999997</v>
      </c>
      <c r="Y211" s="122">
        <v>14056</v>
      </c>
      <c r="Z211" s="113">
        <v>28333.17</v>
      </c>
      <c r="AA211" s="113">
        <v>13420.96</v>
      </c>
      <c r="AB211" s="113">
        <v>1988.28</v>
      </c>
      <c r="AC211" s="122">
        <v>54260</v>
      </c>
      <c r="AD211" s="113">
        <v>497.07</v>
      </c>
      <c r="AE211" s="122" t="s">
        <v>433</v>
      </c>
      <c r="AF211" s="92"/>
      <c r="AG211" s="92"/>
      <c r="AH211" s="92" t="s">
        <v>2</v>
      </c>
      <c r="AI211" s="92" t="s">
        <v>1785</v>
      </c>
      <c r="AJ211" s="92" t="s">
        <v>1787</v>
      </c>
      <c r="AK211" s="92" t="s">
        <v>1779</v>
      </c>
      <c r="AL211" s="92">
        <v>0</v>
      </c>
      <c r="AM211" s="92">
        <v>0</v>
      </c>
    </row>
    <row r="212" spans="2:39">
      <c r="B212" s="122">
        <v>2149</v>
      </c>
      <c r="C212" s="132">
        <v>216318</v>
      </c>
      <c r="D212" s="122" t="s">
        <v>433</v>
      </c>
      <c r="E212" s="92" t="s">
        <v>1626</v>
      </c>
      <c r="F212" t="s">
        <v>530</v>
      </c>
      <c r="I212" s="122">
        <v>100</v>
      </c>
      <c r="J212" s="92"/>
      <c r="K212" s="122">
        <v>0</v>
      </c>
      <c r="L212" s="92" t="s">
        <v>1326</v>
      </c>
      <c r="M212" s="92"/>
      <c r="N212" s="92" t="s">
        <v>646</v>
      </c>
      <c r="O212" s="92" t="s">
        <v>1789</v>
      </c>
      <c r="P212" s="92"/>
      <c r="Q212" s="92" t="s">
        <v>1792</v>
      </c>
      <c r="R212" s="92" t="s">
        <v>1791</v>
      </c>
      <c r="S212" s="133">
        <v>43628</v>
      </c>
      <c r="T212" s="133">
        <v>43628</v>
      </c>
      <c r="U212" s="92" t="s">
        <v>1325</v>
      </c>
      <c r="V212" s="122">
        <v>1200</v>
      </c>
      <c r="W212" s="122">
        <v>14050</v>
      </c>
      <c r="X212" s="113">
        <v>53171</v>
      </c>
      <c r="Y212" s="122">
        <v>14056</v>
      </c>
      <c r="Z212" s="113">
        <v>21785.34</v>
      </c>
      <c r="AA212" s="113">
        <v>31385.66</v>
      </c>
      <c r="AB212" s="113">
        <v>1476.96</v>
      </c>
      <c r="AC212" s="122">
        <v>54260</v>
      </c>
      <c r="AD212" s="113">
        <v>369.24</v>
      </c>
      <c r="AE212" s="122" t="s">
        <v>433</v>
      </c>
      <c r="AF212" s="92"/>
      <c r="AG212" s="92"/>
      <c r="AH212" s="92" t="s">
        <v>2</v>
      </c>
      <c r="AI212" s="92" t="s">
        <v>1785</v>
      </c>
      <c r="AJ212" s="92" t="s">
        <v>1787</v>
      </c>
      <c r="AK212" s="92" t="s">
        <v>1779</v>
      </c>
      <c r="AL212" s="92">
        <v>0</v>
      </c>
      <c r="AM212" s="92">
        <v>0</v>
      </c>
    </row>
    <row r="213" spans="2:39">
      <c r="B213" s="122">
        <v>2149</v>
      </c>
      <c r="C213" s="132">
        <v>216317</v>
      </c>
      <c r="D213" s="122" t="s">
        <v>433</v>
      </c>
      <c r="E213" s="92" t="s">
        <v>1626</v>
      </c>
      <c r="F213" t="s">
        <v>531</v>
      </c>
      <c r="I213" s="122">
        <v>75</v>
      </c>
      <c r="J213" s="92"/>
      <c r="K213" s="122">
        <v>0</v>
      </c>
      <c r="L213" s="92" t="s">
        <v>1326</v>
      </c>
      <c r="M213" s="92"/>
      <c r="N213" s="92" t="s">
        <v>646</v>
      </c>
      <c r="O213" s="92" t="s">
        <v>1789</v>
      </c>
      <c r="P213" s="92"/>
      <c r="Q213" s="92" t="s">
        <v>1790</v>
      </c>
      <c r="R213" s="92" t="s">
        <v>1791</v>
      </c>
      <c r="S213" s="133">
        <v>43628</v>
      </c>
      <c r="T213" s="133">
        <v>43628</v>
      </c>
      <c r="U213" s="92" t="s">
        <v>1325</v>
      </c>
      <c r="V213" s="122">
        <v>1200</v>
      </c>
      <c r="W213" s="122">
        <v>14050</v>
      </c>
      <c r="X213" s="113">
        <v>37329</v>
      </c>
      <c r="Y213" s="122">
        <v>14056</v>
      </c>
      <c r="Z213" s="113">
        <v>15294.53</v>
      </c>
      <c r="AA213" s="113">
        <v>22034.47</v>
      </c>
      <c r="AB213" s="113">
        <v>1036.92</v>
      </c>
      <c r="AC213" s="122">
        <v>54260</v>
      </c>
      <c r="AD213" s="113">
        <v>259.23</v>
      </c>
      <c r="AE213" s="122" t="s">
        <v>433</v>
      </c>
      <c r="AF213" s="92"/>
      <c r="AG213" s="92"/>
      <c r="AH213" s="92" t="s">
        <v>2</v>
      </c>
      <c r="AI213" s="92" t="s">
        <v>1785</v>
      </c>
      <c r="AJ213" s="92" t="s">
        <v>1787</v>
      </c>
      <c r="AK213" s="92" t="s">
        <v>1779</v>
      </c>
      <c r="AL213" s="92">
        <v>0</v>
      </c>
      <c r="AM213" s="92">
        <v>0</v>
      </c>
    </row>
    <row r="214" spans="2:39">
      <c r="B214" s="122">
        <v>2149</v>
      </c>
      <c r="C214" s="132">
        <v>214066</v>
      </c>
      <c r="D214" s="122" t="s">
        <v>433</v>
      </c>
      <c r="E214" s="92" t="s">
        <v>1626</v>
      </c>
      <c r="F214" t="s">
        <v>1324</v>
      </c>
      <c r="I214" s="122">
        <v>5</v>
      </c>
      <c r="J214" s="92"/>
      <c r="K214" s="122">
        <v>0</v>
      </c>
      <c r="L214" s="92" t="s">
        <v>1323</v>
      </c>
      <c r="M214" s="92"/>
      <c r="N214" s="92" t="s">
        <v>646</v>
      </c>
      <c r="O214" s="92" t="s">
        <v>1789</v>
      </c>
      <c r="P214" s="92"/>
      <c r="Q214" s="92"/>
      <c r="R214" s="92"/>
      <c r="S214" s="133">
        <v>43616</v>
      </c>
      <c r="T214" s="133">
        <v>43616</v>
      </c>
      <c r="U214" s="92" t="s">
        <v>1318</v>
      </c>
      <c r="V214" s="122">
        <v>1200</v>
      </c>
      <c r="W214" s="122">
        <v>14050</v>
      </c>
      <c r="X214" s="113">
        <v>31647.39</v>
      </c>
      <c r="Y214" s="122">
        <v>14056</v>
      </c>
      <c r="Z214" s="113">
        <v>12966.62</v>
      </c>
      <c r="AA214" s="113">
        <v>18680.769999999997</v>
      </c>
      <c r="AB214" s="113">
        <v>879.08</v>
      </c>
      <c r="AC214" s="122">
        <v>54260</v>
      </c>
      <c r="AD214" s="113">
        <v>219.77</v>
      </c>
      <c r="AE214" s="122" t="s">
        <v>433</v>
      </c>
      <c r="AF214" s="92"/>
      <c r="AG214" s="92"/>
      <c r="AH214" s="92" t="s">
        <v>2</v>
      </c>
      <c r="AI214" s="92" t="s">
        <v>1785</v>
      </c>
      <c r="AJ214" s="92" t="s">
        <v>1787</v>
      </c>
      <c r="AK214" s="92" t="s">
        <v>1779</v>
      </c>
      <c r="AL214" s="92">
        <v>0</v>
      </c>
      <c r="AM214" s="92">
        <v>0</v>
      </c>
    </row>
    <row r="215" spans="2:39">
      <c r="B215" s="122">
        <v>2149</v>
      </c>
      <c r="C215" s="132">
        <v>213239</v>
      </c>
      <c r="D215" s="122" t="s">
        <v>433</v>
      </c>
      <c r="E215" s="92" t="s">
        <v>1626</v>
      </c>
      <c r="F215" t="s">
        <v>1322</v>
      </c>
      <c r="I215" s="122">
        <v>1</v>
      </c>
      <c r="J215" s="92" t="s">
        <v>1321</v>
      </c>
      <c r="K215" s="122">
        <v>2014</v>
      </c>
      <c r="L215" s="92" t="s">
        <v>620</v>
      </c>
      <c r="M215" s="92" t="s">
        <v>1320</v>
      </c>
      <c r="N215" s="92" t="s">
        <v>1788</v>
      </c>
      <c r="O215" s="92" t="s">
        <v>1789</v>
      </c>
      <c r="P215" s="92" t="s">
        <v>1813</v>
      </c>
      <c r="Q215" s="92"/>
      <c r="R215" s="92"/>
      <c r="S215" s="133">
        <v>42591</v>
      </c>
      <c r="T215" s="133">
        <v>42591</v>
      </c>
      <c r="U215" s="92" t="s">
        <v>1319</v>
      </c>
      <c r="V215" s="122">
        <v>300</v>
      </c>
      <c r="W215" s="122">
        <v>14040</v>
      </c>
      <c r="X215" s="113">
        <v>28923.599999999999</v>
      </c>
      <c r="Y215" s="122">
        <v>14046</v>
      </c>
      <c r="Z215" s="113">
        <v>28923.599999999999</v>
      </c>
      <c r="AA215" s="113">
        <v>0</v>
      </c>
      <c r="AB215" s="113">
        <v>0</v>
      </c>
      <c r="AC215" s="122">
        <v>51260</v>
      </c>
      <c r="AD215" s="113">
        <v>0</v>
      </c>
      <c r="AE215" s="122" t="s">
        <v>433</v>
      </c>
      <c r="AF215" s="92"/>
      <c r="AG215" s="92">
        <v>101</v>
      </c>
      <c r="AH215" s="92" t="s">
        <v>2</v>
      </c>
      <c r="AI215" s="92" t="s">
        <v>1785</v>
      </c>
      <c r="AJ215" s="92" t="s">
        <v>1787</v>
      </c>
      <c r="AK215" s="92" t="s">
        <v>1779</v>
      </c>
      <c r="AL215" s="92">
        <v>0</v>
      </c>
      <c r="AM215" s="92">
        <v>0</v>
      </c>
    </row>
    <row r="216" spans="2:39">
      <c r="B216" s="122">
        <v>2149</v>
      </c>
      <c r="C216" s="132">
        <v>212751</v>
      </c>
      <c r="D216" s="122" t="s">
        <v>433</v>
      </c>
      <c r="E216" s="92" t="s">
        <v>1626</v>
      </c>
      <c r="F216" t="s">
        <v>525</v>
      </c>
      <c r="I216" s="122">
        <v>276</v>
      </c>
      <c r="J216" s="92"/>
      <c r="K216" s="122">
        <v>0</v>
      </c>
      <c r="L216" s="92" t="s">
        <v>1199</v>
      </c>
      <c r="M216" s="92"/>
      <c r="N216" s="92" t="s">
        <v>646</v>
      </c>
      <c r="O216" s="92" t="s">
        <v>1789</v>
      </c>
      <c r="P216" s="92"/>
      <c r="Q216" s="92"/>
      <c r="R216" s="92"/>
      <c r="S216" s="133">
        <v>43503</v>
      </c>
      <c r="T216" s="133">
        <v>43503</v>
      </c>
      <c r="U216" s="92" t="s">
        <v>1318</v>
      </c>
      <c r="V216" s="122">
        <v>700</v>
      </c>
      <c r="W216" s="122">
        <v>14050</v>
      </c>
      <c r="X216" s="113">
        <v>13759.6</v>
      </c>
      <c r="Y216" s="122">
        <v>14056</v>
      </c>
      <c r="Z216" s="113">
        <v>10319.69</v>
      </c>
      <c r="AA216" s="113">
        <v>3439.91</v>
      </c>
      <c r="AB216" s="113">
        <v>655.20000000000005</v>
      </c>
      <c r="AC216" s="122">
        <v>54260</v>
      </c>
      <c r="AD216" s="113">
        <v>163.80000000000001</v>
      </c>
      <c r="AE216" s="122" t="s">
        <v>433</v>
      </c>
      <c r="AF216" s="92"/>
      <c r="AG216" s="92"/>
      <c r="AH216" s="92" t="s">
        <v>2</v>
      </c>
      <c r="AI216" s="92" t="s">
        <v>1785</v>
      </c>
      <c r="AJ216" s="92" t="s">
        <v>1787</v>
      </c>
      <c r="AK216" s="92" t="s">
        <v>1779</v>
      </c>
      <c r="AL216" s="92">
        <v>0</v>
      </c>
      <c r="AM216" s="92">
        <v>0</v>
      </c>
    </row>
    <row r="217" spans="2:39">
      <c r="B217" s="122">
        <v>2149</v>
      </c>
      <c r="C217" s="132">
        <v>212750</v>
      </c>
      <c r="D217" s="122" t="s">
        <v>433</v>
      </c>
      <c r="E217" s="92" t="s">
        <v>1626</v>
      </c>
      <c r="F217" t="s">
        <v>524</v>
      </c>
      <c r="I217" s="122">
        <v>288</v>
      </c>
      <c r="J217" s="92"/>
      <c r="K217" s="122">
        <v>0</v>
      </c>
      <c r="L217" s="92" t="s">
        <v>1199</v>
      </c>
      <c r="M217" s="92"/>
      <c r="N217" s="92" t="s">
        <v>646</v>
      </c>
      <c r="O217" s="92" t="s">
        <v>1789</v>
      </c>
      <c r="P217" s="92"/>
      <c r="Q217" s="92"/>
      <c r="R217" s="92"/>
      <c r="S217" s="133">
        <v>43503</v>
      </c>
      <c r="T217" s="133">
        <v>43503</v>
      </c>
      <c r="U217" s="92" t="s">
        <v>1318</v>
      </c>
      <c r="V217" s="122">
        <v>700</v>
      </c>
      <c r="W217" s="122">
        <v>14050</v>
      </c>
      <c r="X217" s="113">
        <v>13107.93</v>
      </c>
      <c r="Y217" s="122">
        <v>14056</v>
      </c>
      <c r="Z217" s="113">
        <v>9830.9599999999991</v>
      </c>
      <c r="AA217" s="113">
        <v>3276.9700000000012</v>
      </c>
      <c r="AB217" s="113">
        <v>624.20000000000005</v>
      </c>
      <c r="AC217" s="122">
        <v>54260</v>
      </c>
      <c r="AD217" s="113">
        <v>156.05000000000001</v>
      </c>
      <c r="AE217" s="122" t="s">
        <v>433</v>
      </c>
      <c r="AF217" s="92"/>
      <c r="AG217" s="92"/>
      <c r="AH217" s="92" t="s">
        <v>2</v>
      </c>
      <c r="AI217" s="92" t="s">
        <v>1785</v>
      </c>
      <c r="AJ217" s="92" t="s">
        <v>1787</v>
      </c>
      <c r="AK217" s="92" t="s">
        <v>1779</v>
      </c>
      <c r="AL217" s="92">
        <v>0</v>
      </c>
      <c r="AM217" s="92">
        <v>0</v>
      </c>
    </row>
    <row r="218" spans="2:39">
      <c r="B218" s="122">
        <v>2149</v>
      </c>
      <c r="C218" s="132">
        <v>212749</v>
      </c>
      <c r="D218" s="122" t="s">
        <v>433</v>
      </c>
      <c r="E218" s="92" t="s">
        <v>1626</v>
      </c>
      <c r="F218" t="s">
        <v>523</v>
      </c>
      <c r="I218" s="122">
        <v>204</v>
      </c>
      <c r="J218" s="92"/>
      <c r="K218" s="122">
        <v>0</v>
      </c>
      <c r="L218" s="92" t="s">
        <v>1199</v>
      </c>
      <c r="M218" s="92"/>
      <c r="N218" s="92" t="s">
        <v>646</v>
      </c>
      <c r="O218" s="92" t="s">
        <v>1789</v>
      </c>
      <c r="P218" s="92"/>
      <c r="Q218" s="92"/>
      <c r="R218" s="92"/>
      <c r="S218" s="133">
        <v>43503</v>
      </c>
      <c r="T218" s="133">
        <v>43503</v>
      </c>
      <c r="U218" s="92" t="s">
        <v>1318</v>
      </c>
      <c r="V218" s="122">
        <v>700</v>
      </c>
      <c r="W218" s="122">
        <v>14050</v>
      </c>
      <c r="X218" s="113">
        <v>9008.11</v>
      </c>
      <c r="Y218" s="122">
        <v>14056</v>
      </c>
      <c r="Z218" s="113">
        <v>6756.07</v>
      </c>
      <c r="AA218" s="113">
        <v>2252.0400000000009</v>
      </c>
      <c r="AB218" s="113">
        <v>428.96</v>
      </c>
      <c r="AC218" s="122">
        <v>54260</v>
      </c>
      <c r="AD218" s="113">
        <v>107.24</v>
      </c>
      <c r="AE218" s="122" t="s">
        <v>433</v>
      </c>
      <c r="AF218" s="92"/>
      <c r="AG218" s="92"/>
      <c r="AH218" s="92" t="s">
        <v>2</v>
      </c>
      <c r="AI218" s="92" t="s">
        <v>1785</v>
      </c>
      <c r="AJ218" s="92" t="s">
        <v>1787</v>
      </c>
      <c r="AK218" s="92" t="s">
        <v>1779</v>
      </c>
      <c r="AL218" s="92">
        <v>0</v>
      </c>
      <c r="AM218" s="92">
        <v>0</v>
      </c>
    </row>
    <row r="219" spans="2:39">
      <c r="B219" s="122">
        <v>2149</v>
      </c>
      <c r="C219" s="132">
        <v>212566</v>
      </c>
      <c r="D219" s="122" t="s">
        <v>433</v>
      </c>
      <c r="E219" s="92" t="s">
        <v>1626</v>
      </c>
      <c r="F219" t="s">
        <v>1317</v>
      </c>
      <c r="I219" s="122">
        <v>4</v>
      </c>
      <c r="J219" s="92"/>
      <c r="K219" s="122">
        <v>0</v>
      </c>
      <c r="L219" s="92"/>
      <c r="M219" s="92"/>
      <c r="N219" s="92" t="s">
        <v>646</v>
      </c>
      <c r="O219" s="92" t="s">
        <v>1789</v>
      </c>
      <c r="P219" s="92"/>
      <c r="Q219" s="92" t="s">
        <v>1824</v>
      </c>
      <c r="R219" s="92" t="s">
        <v>1825</v>
      </c>
      <c r="S219" s="133">
        <v>40544</v>
      </c>
      <c r="T219" s="133">
        <v>40544</v>
      </c>
      <c r="U219" s="92"/>
      <c r="V219" s="122">
        <v>100</v>
      </c>
      <c r="W219" s="122">
        <v>14050</v>
      </c>
      <c r="X219" s="113">
        <v>0</v>
      </c>
      <c r="Y219" s="122">
        <v>14056</v>
      </c>
      <c r="Z219" s="113">
        <v>0</v>
      </c>
      <c r="AA219" s="113">
        <v>0</v>
      </c>
      <c r="AB219" s="113">
        <v>0</v>
      </c>
      <c r="AC219" s="122">
        <v>54260</v>
      </c>
      <c r="AD219" s="113">
        <v>0</v>
      </c>
      <c r="AE219" s="122" t="s">
        <v>433</v>
      </c>
      <c r="AF219" s="92"/>
      <c r="AG219" s="92"/>
      <c r="AH219" s="92" t="s">
        <v>2</v>
      </c>
      <c r="AI219" s="92" t="s">
        <v>1785</v>
      </c>
      <c r="AJ219" s="92" t="s">
        <v>662</v>
      </c>
      <c r="AK219" s="92" t="s">
        <v>1779</v>
      </c>
      <c r="AL219" s="92">
        <v>0</v>
      </c>
      <c r="AM219" s="92">
        <v>0</v>
      </c>
    </row>
    <row r="220" spans="2:39">
      <c r="B220" s="122">
        <v>2149</v>
      </c>
      <c r="C220" s="132">
        <v>207741</v>
      </c>
      <c r="D220" s="122" t="s">
        <v>433</v>
      </c>
      <c r="E220" s="92" t="s">
        <v>1626</v>
      </c>
      <c r="F220" t="s">
        <v>484</v>
      </c>
      <c r="I220" s="122">
        <v>1</v>
      </c>
      <c r="J220" s="92"/>
      <c r="K220" s="122">
        <v>0</v>
      </c>
      <c r="L220" s="92" t="s">
        <v>1316</v>
      </c>
      <c r="M220" s="92"/>
      <c r="N220" s="92" t="s">
        <v>1800</v>
      </c>
      <c r="O220" s="92" t="s">
        <v>1800</v>
      </c>
      <c r="P220" s="92"/>
      <c r="Q220" s="92"/>
      <c r="R220" s="92"/>
      <c r="S220" s="133">
        <v>43419</v>
      </c>
      <c r="T220" s="133">
        <v>43419</v>
      </c>
      <c r="U220" s="92" t="s">
        <v>1315</v>
      </c>
      <c r="V220" s="122">
        <v>1000</v>
      </c>
      <c r="W220" s="122">
        <v>14090</v>
      </c>
      <c r="X220" s="113">
        <v>28752.5</v>
      </c>
      <c r="Y220" s="122">
        <v>14096</v>
      </c>
      <c r="Z220" s="113">
        <v>15813.86</v>
      </c>
      <c r="AA220" s="113">
        <v>12938.64</v>
      </c>
      <c r="AB220" s="113">
        <v>958.4</v>
      </c>
      <c r="AC220" s="122">
        <v>57260</v>
      </c>
      <c r="AD220" s="113">
        <v>239.6</v>
      </c>
      <c r="AE220" s="122" t="s">
        <v>433</v>
      </c>
      <c r="AF220" s="92"/>
      <c r="AG220" s="92"/>
      <c r="AH220" s="92" t="s">
        <v>2</v>
      </c>
      <c r="AI220" s="92" t="s">
        <v>1785</v>
      </c>
      <c r="AJ220" s="92" t="s">
        <v>1787</v>
      </c>
      <c r="AK220" s="92" t="s">
        <v>1779</v>
      </c>
      <c r="AL220" s="92">
        <v>0</v>
      </c>
      <c r="AM220" s="92">
        <v>0</v>
      </c>
    </row>
    <row r="221" spans="2:39">
      <c r="B221" s="122">
        <v>2149</v>
      </c>
      <c r="C221" s="132">
        <v>207443</v>
      </c>
      <c r="D221" s="122" t="s">
        <v>433</v>
      </c>
      <c r="E221" s="92" t="s">
        <v>1626</v>
      </c>
      <c r="F221" t="s">
        <v>472</v>
      </c>
      <c r="I221" s="122">
        <v>25</v>
      </c>
      <c r="J221" s="92"/>
      <c r="K221" s="122">
        <v>0</v>
      </c>
      <c r="L221" s="92" t="s">
        <v>1295</v>
      </c>
      <c r="M221" s="92"/>
      <c r="N221" s="92" t="s">
        <v>646</v>
      </c>
      <c r="O221" s="92" t="s">
        <v>1789</v>
      </c>
      <c r="P221" s="92"/>
      <c r="Q221" s="92"/>
      <c r="R221" s="92"/>
      <c r="S221" s="133">
        <v>43423</v>
      </c>
      <c r="T221" s="133">
        <v>43423</v>
      </c>
      <c r="U221" s="92" t="s">
        <v>1314</v>
      </c>
      <c r="V221" s="122">
        <v>700</v>
      </c>
      <c r="W221" s="122">
        <v>14050</v>
      </c>
      <c r="X221" s="113">
        <v>8023.58</v>
      </c>
      <c r="Y221" s="122">
        <v>14056</v>
      </c>
      <c r="Z221" s="113">
        <v>6208.75</v>
      </c>
      <c r="AA221" s="113">
        <v>1814.83</v>
      </c>
      <c r="AB221" s="113">
        <v>382.08</v>
      </c>
      <c r="AC221" s="122">
        <v>54260</v>
      </c>
      <c r="AD221" s="113">
        <v>95.52</v>
      </c>
      <c r="AE221" s="122" t="s">
        <v>433</v>
      </c>
      <c r="AF221" s="92"/>
      <c r="AG221" s="92"/>
      <c r="AH221" s="92" t="s">
        <v>2</v>
      </c>
      <c r="AI221" s="92" t="s">
        <v>1785</v>
      </c>
      <c r="AJ221" s="92" t="s">
        <v>1787</v>
      </c>
      <c r="AK221" s="92" t="s">
        <v>1779</v>
      </c>
      <c r="AL221" s="92">
        <v>0</v>
      </c>
      <c r="AM221" s="92">
        <v>0</v>
      </c>
    </row>
    <row r="222" spans="2:39">
      <c r="B222" s="122">
        <v>2149</v>
      </c>
      <c r="C222" s="132">
        <v>207442</v>
      </c>
      <c r="D222" s="122" t="s">
        <v>433</v>
      </c>
      <c r="E222" s="92" t="s">
        <v>1626</v>
      </c>
      <c r="F222" t="s">
        <v>456</v>
      </c>
      <c r="I222" s="122">
        <v>200</v>
      </c>
      <c r="J222" s="92"/>
      <c r="K222" s="122">
        <v>0</v>
      </c>
      <c r="L222" s="92" t="s">
        <v>1199</v>
      </c>
      <c r="M222" s="92"/>
      <c r="N222" s="92" t="s">
        <v>646</v>
      </c>
      <c r="O222" s="92" t="s">
        <v>1789</v>
      </c>
      <c r="P222" s="92"/>
      <c r="Q222" s="92"/>
      <c r="R222" s="92"/>
      <c r="S222" s="133">
        <v>43455</v>
      </c>
      <c r="T222" s="133">
        <v>43455</v>
      </c>
      <c r="U222" s="92" t="s">
        <v>1313</v>
      </c>
      <c r="V222" s="122">
        <v>700</v>
      </c>
      <c r="W222" s="122">
        <v>14050</v>
      </c>
      <c r="X222" s="113">
        <v>10120.9</v>
      </c>
      <c r="Y222" s="122">
        <v>14056</v>
      </c>
      <c r="Z222" s="113">
        <v>7711.16</v>
      </c>
      <c r="AA222" s="113">
        <v>2409.7399999999998</v>
      </c>
      <c r="AB222" s="113">
        <v>481.96</v>
      </c>
      <c r="AC222" s="122">
        <v>54260</v>
      </c>
      <c r="AD222" s="113">
        <v>120.49</v>
      </c>
      <c r="AE222" s="122" t="s">
        <v>433</v>
      </c>
      <c r="AF222" s="92"/>
      <c r="AG222" s="92"/>
      <c r="AH222" s="92" t="s">
        <v>2</v>
      </c>
      <c r="AI222" s="92" t="s">
        <v>1785</v>
      </c>
      <c r="AJ222" s="92" t="s">
        <v>1787</v>
      </c>
      <c r="AK222" s="92" t="s">
        <v>1779</v>
      </c>
      <c r="AL222" s="92">
        <v>0</v>
      </c>
      <c r="AM222" s="92">
        <v>0</v>
      </c>
    </row>
    <row r="223" spans="2:39">
      <c r="B223" s="122">
        <v>2149</v>
      </c>
      <c r="C223" s="132">
        <v>206186</v>
      </c>
      <c r="D223" s="122" t="s">
        <v>433</v>
      </c>
      <c r="E223" s="92" t="s">
        <v>1626</v>
      </c>
      <c r="F223" t="s">
        <v>487</v>
      </c>
      <c r="I223" s="122">
        <v>1</v>
      </c>
      <c r="J223" s="92">
        <v>22025220</v>
      </c>
      <c r="K223" s="122">
        <v>2011</v>
      </c>
      <c r="L223" s="92" t="s">
        <v>1312</v>
      </c>
      <c r="M223" s="92" t="s">
        <v>1311</v>
      </c>
      <c r="N223" s="92" t="s">
        <v>1807</v>
      </c>
      <c r="O223" s="92" t="s">
        <v>1789</v>
      </c>
      <c r="P223" s="92" t="s">
        <v>1310</v>
      </c>
      <c r="Q223" s="92"/>
      <c r="R223" s="92"/>
      <c r="S223" s="133">
        <v>43416</v>
      </c>
      <c r="T223" s="133">
        <v>43416</v>
      </c>
      <c r="U223" s="92" t="s">
        <v>1309</v>
      </c>
      <c r="V223" s="122">
        <v>300</v>
      </c>
      <c r="W223" s="122">
        <v>14030</v>
      </c>
      <c r="X223" s="113">
        <v>6467.65</v>
      </c>
      <c r="Y223" s="122">
        <v>14036</v>
      </c>
      <c r="Z223" s="113">
        <v>6467.65</v>
      </c>
      <c r="AA223" s="113">
        <v>0</v>
      </c>
      <c r="AB223" s="113">
        <v>0</v>
      </c>
      <c r="AC223" s="122">
        <v>51260</v>
      </c>
      <c r="AD223" s="113">
        <v>0</v>
      </c>
      <c r="AE223" s="122" t="s">
        <v>433</v>
      </c>
      <c r="AF223" s="92"/>
      <c r="AG223" s="92">
        <v>2011</v>
      </c>
      <c r="AH223" s="92" t="s">
        <v>2</v>
      </c>
      <c r="AI223" s="92" t="s">
        <v>1785</v>
      </c>
      <c r="AJ223" s="92" t="s">
        <v>1787</v>
      </c>
      <c r="AK223" s="92" t="s">
        <v>1779</v>
      </c>
      <c r="AL223" s="92">
        <v>0</v>
      </c>
      <c r="AM223" s="92">
        <v>0</v>
      </c>
    </row>
    <row r="224" spans="2:39">
      <c r="B224" s="122">
        <v>2149</v>
      </c>
      <c r="C224" s="132">
        <v>205264</v>
      </c>
      <c r="D224" s="122" t="s">
        <v>433</v>
      </c>
      <c r="E224" s="92" t="s">
        <v>1626</v>
      </c>
      <c r="F224" t="s">
        <v>1308</v>
      </c>
      <c r="I224" s="122">
        <v>1</v>
      </c>
      <c r="J224" s="92" t="s">
        <v>590</v>
      </c>
      <c r="K224" s="122">
        <v>1996</v>
      </c>
      <c r="L224" s="92" t="s">
        <v>671</v>
      </c>
      <c r="M224" s="92" t="s">
        <v>759</v>
      </c>
      <c r="N224" s="92" t="s">
        <v>1788</v>
      </c>
      <c r="O224" s="92" t="s">
        <v>1789</v>
      </c>
      <c r="P224" s="92" t="s">
        <v>758</v>
      </c>
      <c r="Q224" s="92"/>
      <c r="R224" s="92"/>
      <c r="S224" s="133">
        <v>39755</v>
      </c>
      <c r="T224" s="133">
        <v>39755</v>
      </c>
      <c r="U224" s="92"/>
      <c r="V224" s="122">
        <v>300</v>
      </c>
      <c r="W224" s="122">
        <v>14040</v>
      </c>
      <c r="X224" s="113">
        <v>3000</v>
      </c>
      <c r="Y224" s="122">
        <v>14046</v>
      </c>
      <c r="Z224" s="113">
        <v>3000</v>
      </c>
      <c r="AA224" s="113">
        <v>0</v>
      </c>
      <c r="AB224" s="113">
        <v>0</v>
      </c>
      <c r="AC224" s="122">
        <v>51260</v>
      </c>
      <c r="AD224" s="113">
        <v>0</v>
      </c>
      <c r="AE224" s="122" t="s">
        <v>663</v>
      </c>
      <c r="AF224" s="92" t="s">
        <v>905</v>
      </c>
      <c r="AG224" s="92">
        <v>5</v>
      </c>
      <c r="AH224" s="92" t="s">
        <v>2</v>
      </c>
      <c r="AI224" s="92" t="s">
        <v>1785</v>
      </c>
      <c r="AJ224" s="92" t="s">
        <v>1787</v>
      </c>
      <c r="AK224" s="92" t="s">
        <v>1779</v>
      </c>
      <c r="AL224" s="92">
        <v>0</v>
      </c>
      <c r="AM224" s="92">
        <v>0</v>
      </c>
    </row>
    <row r="225" spans="2:39">
      <c r="B225" s="122">
        <v>2149</v>
      </c>
      <c r="C225" s="132">
        <v>204575</v>
      </c>
      <c r="D225" s="122" t="s">
        <v>433</v>
      </c>
      <c r="E225" s="92" t="s">
        <v>1626</v>
      </c>
      <c r="F225" t="s">
        <v>479</v>
      </c>
      <c r="I225" s="122">
        <v>2</v>
      </c>
      <c r="J225" s="92"/>
      <c r="K225" s="122">
        <v>0</v>
      </c>
      <c r="L225" s="92" t="s">
        <v>1245</v>
      </c>
      <c r="M225" s="92"/>
      <c r="N225" s="92" t="s">
        <v>646</v>
      </c>
      <c r="O225" s="92" t="s">
        <v>1789</v>
      </c>
      <c r="P225" s="92"/>
      <c r="Q225" s="92" t="s">
        <v>1796</v>
      </c>
      <c r="R225" s="92" t="s">
        <v>1794</v>
      </c>
      <c r="S225" s="133">
        <v>43335</v>
      </c>
      <c r="T225" s="133">
        <v>43335</v>
      </c>
      <c r="U225" s="92" t="s">
        <v>1307</v>
      </c>
      <c r="V225" s="122">
        <v>1200</v>
      </c>
      <c r="W225" s="122">
        <v>14050</v>
      </c>
      <c r="X225" s="113">
        <v>13283.5</v>
      </c>
      <c r="Y225" s="122">
        <v>14056</v>
      </c>
      <c r="Z225" s="113">
        <v>6272.79</v>
      </c>
      <c r="AA225" s="113">
        <v>7010.71</v>
      </c>
      <c r="AB225" s="113">
        <v>369</v>
      </c>
      <c r="AC225" s="122">
        <v>54260</v>
      </c>
      <c r="AD225" s="113">
        <v>92.25</v>
      </c>
      <c r="AE225" s="122" t="s">
        <v>433</v>
      </c>
      <c r="AF225" s="92"/>
      <c r="AG225" s="92"/>
      <c r="AH225" s="92" t="s">
        <v>2</v>
      </c>
      <c r="AI225" s="92" t="s">
        <v>1785</v>
      </c>
      <c r="AJ225" s="92" t="s">
        <v>1787</v>
      </c>
      <c r="AK225" s="92" t="s">
        <v>1779</v>
      </c>
      <c r="AL225" s="92">
        <v>0</v>
      </c>
      <c r="AM225" s="92">
        <v>0</v>
      </c>
    </row>
    <row r="226" spans="2:39">
      <c r="B226" s="122">
        <v>2149</v>
      </c>
      <c r="C226" s="132">
        <v>204438</v>
      </c>
      <c r="D226" s="122" t="s">
        <v>433</v>
      </c>
      <c r="E226" s="92" t="s">
        <v>1626</v>
      </c>
      <c r="F226" t="s">
        <v>465</v>
      </c>
      <c r="I226" s="122">
        <v>200</v>
      </c>
      <c r="J226" s="92"/>
      <c r="K226" s="122">
        <v>0</v>
      </c>
      <c r="L226" s="92" t="s">
        <v>1199</v>
      </c>
      <c r="M226" s="92"/>
      <c r="N226" s="92" t="s">
        <v>646</v>
      </c>
      <c r="O226" s="92" t="s">
        <v>1789</v>
      </c>
      <c r="P226" s="92"/>
      <c r="Q226" s="92"/>
      <c r="R226" s="92"/>
      <c r="S226" s="133">
        <v>43398</v>
      </c>
      <c r="T226" s="133">
        <v>43398</v>
      </c>
      <c r="U226" s="92" t="s">
        <v>1306</v>
      </c>
      <c r="V226" s="122">
        <v>700</v>
      </c>
      <c r="W226" s="122">
        <v>14050</v>
      </c>
      <c r="X226" s="113">
        <v>10739.7</v>
      </c>
      <c r="Y226" s="122">
        <v>14056</v>
      </c>
      <c r="Z226" s="113">
        <v>8438.31</v>
      </c>
      <c r="AA226" s="113">
        <v>2301.3900000000012</v>
      </c>
      <c r="AB226" s="113">
        <v>511.4</v>
      </c>
      <c r="AC226" s="122">
        <v>54260</v>
      </c>
      <c r="AD226" s="113">
        <v>127.85</v>
      </c>
      <c r="AE226" s="122" t="s">
        <v>433</v>
      </c>
      <c r="AF226" s="92"/>
      <c r="AG226" s="92"/>
      <c r="AH226" s="92" t="s">
        <v>2</v>
      </c>
      <c r="AI226" s="92" t="s">
        <v>1785</v>
      </c>
      <c r="AJ226" s="92" t="s">
        <v>1787</v>
      </c>
      <c r="AK226" s="92" t="s">
        <v>1779</v>
      </c>
      <c r="AL226" s="92">
        <v>0</v>
      </c>
      <c r="AM226" s="92">
        <v>0</v>
      </c>
    </row>
    <row r="227" spans="2:39">
      <c r="B227" s="122">
        <v>2149</v>
      </c>
      <c r="C227" s="132">
        <v>204437</v>
      </c>
      <c r="D227" s="122" t="s">
        <v>433</v>
      </c>
      <c r="E227" s="92" t="s">
        <v>1626</v>
      </c>
      <c r="F227" t="s">
        <v>457</v>
      </c>
      <c r="I227" s="122">
        <v>100</v>
      </c>
      <c r="J227" s="92"/>
      <c r="K227" s="122">
        <v>0</v>
      </c>
      <c r="L227" s="92" t="s">
        <v>1199</v>
      </c>
      <c r="M227" s="92"/>
      <c r="N227" s="92" t="s">
        <v>646</v>
      </c>
      <c r="O227" s="92" t="s">
        <v>1789</v>
      </c>
      <c r="P227" s="92"/>
      <c r="Q227" s="92"/>
      <c r="R227" s="92"/>
      <c r="S227" s="133">
        <v>43398</v>
      </c>
      <c r="T227" s="133">
        <v>43398</v>
      </c>
      <c r="U227" s="92" t="s">
        <v>1306</v>
      </c>
      <c r="V227" s="122">
        <v>700</v>
      </c>
      <c r="W227" s="122">
        <v>14050</v>
      </c>
      <c r="X227" s="113">
        <v>5369.83</v>
      </c>
      <c r="Y227" s="122">
        <v>14056</v>
      </c>
      <c r="Z227" s="113">
        <v>4219.17</v>
      </c>
      <c r="AA227" s="113">
        <v>1150.6599999999999</v>
      </c>
      <c r="AB227" s="113">
        <v>255.72</v>
      </c>
      <c r="AC227" s="122">
        <v>54260</v>
      </c>
      <c r="AD227" s="113">
        <v>63.93</v>
      </c>
      <c r="AE227" s="122" t="s">
        <v>433</v>
      </c>
      <c r="AF227" s="92"/>
      <c r="AG227" s="92"/>
      <c r="AH227" s="92" t="s">
        <v>2</v>
      </c>
      <c r="AI227" s="92" t="s">
        <v>1785</v>
      </c>
      <c r="AJ227" s="92" t="s">
        <v>1787</v>
      </c>
      <c r="AK227" s="92" t="s">
        <v>1779</v>
      </c>
      <c r="AL227" s="92">
        <v>0</v>
      </c>
      <c r="AM227" s="92">
        <v>0</v>
      </c>
    </row>
    <row r="228" spans="2:39">
      <c r="B228" s="122">
        <v>2149</v>
      </c>
      <c r="C228" s="132">
        <v>204436</v>
      </c>
      <c r="D228" s="122" t="s">
        <v>433</v>
      </c>
      <c r="E228" s="92" t="s">
        <v>1626</v>
      </c>
      <c r="F228" t="s">
        <v>466</v>
      </c>
      <c r="I228" s="122">
        <v>200</v>
      </c>
      <c r="J228" s="92"/>
      <c r="K228" s="122">
        <v>0</v>
      </c>
      <c r="L228" s="92" t="s">
        <v>1199</v>
      </c>
      <c r="M228" s="92"/>
      <c r="N228" s="92" t="s">
        <v>646</v>
      </c>
      <c r="O228" s="92" t="s">
        <v>1789</v>
      </c>
      <c r="P228" s="92"/>
      <c r="Q228" s="92"/>
      <c r="R228" s="92"/>
      <c r="S228" s="133">
        <v>43398</v>
      </c>
      <c r="T228" s="133">
        <v>43398</v>
      </c>
      <c r="U228" s="92" t="s">
        <v>1306</v>
      </c>
      <c r="V228" s="122">
        <v>700</v>
      </c>
      <c r="W228" s="122">
        <v>14050</v>
      </c>
      <c r="X228" s="113">
        <v>9491.9</v>
      </c>
      <c r="Y228" s="122">
        <v>14056</v>
      </c>
      <c r="Z228" s="113">
        <v>7457.95</v>
      </c>
      <c r="AA228" s="113">
        <v>2033.9499999999998</v>
      </c>
      <c r="AB228" s="113">
        <v>452</v>
      </c>
      <c r="AC228" s="122">
        <v>54260</v>
      </c>
      <c r="AD228" s="113">
        <v>113</v>
      </c>
      <c r="AE228" s="122" t="s">
        <v>433</v>
      </c>
      <c r="AF228" s="92"/>
      <c r="AG228" s="92"/>
      <c r="AH228" s="92" t="s">
        <v>2</v>
      </c>
      <c r="AI228" s="92" t="s">
        <v>1785</v>
      </c>
      <c r="AJ228" s="92" t="s">
        <v>1787</v>
      </c>
      <c r="AK228" s="92" t="s">
        <v>1779</v>
      </c>
      <c r="AL228" s="92">
        <v>0</v>
      </c>
      <c r="AM228" s="92">
        <v>0</v>
      </c>
    </row>
    <row r="229" spans="2:39">
      <c r="B229" s="122">
        <v>2149</v>
      </c>
      <c r="C229" s="132">
        <v>204435</v>
      </c>
      <c r="D229" s="122" t="s">
        <v>433</v>
      </c>
      <c r="E229" s="92" t="s">
        <v>1626</v>
      </c>
      <c r="F229" t="s">
        <v>458</v>
      </c>
      <c r="I229" s="122">
        <v>100</v>
      </c>
      <c r="J229" s="92"/>
      <c r="K229" s="122">
        <v>0</v>
      </c>
      <c r="L229" s="92" t="s">
        <v>1199</v>
      </c>
      <c r="M229" s="92"/>
      <c r="N229" s="92" t="s">
        <v>646</v>
      </c>
      <c r="O229" s="92" t="s">
        <v>1789</v>
      </c>
      <c r="P229" s="92"/>
      <c r="Q229" s="92"/>
      <c r="R229" s="92"/>
      <c r="S229" s="133">
        <v>43398</v>
      </c>
      <c r="T229" s="133">
        <v>43398</v>
      </c>
      <c r="U229" s="92" t="s">
        <v>1306</v>
      </c>
      <c r="V229" s="122">
        <v>700</v>
      </c>
      <c r="W229" s="122">
        <v>14050</v>
      </c>
      <c r="X229" s="113">
        <v>4745.95</v>
      </c>
      <c r="Y229" s="122">
        <v>14056</v>
      </c>
      <c r="Z229" s="113">
        <v>3728.95</v>
      </c>
      <c r="AA229" s="113">
        <v>1017</v>
      </c>
      <c r="AB229" s="113">
        <v>226</v>
      </c>
      <c r="AC229" s="122">
        <v>54260</v>
      </c>
      <c r="AD229" s="113">
        <v>56.5</v>
      </c>
      <c r="AE229" s="122" t="s">
        <v>433</v>
      </c>
      <c r="AF229" s="92"/>
      <c r="AG229" s="92"/>
      <c r="AH229" s="92" t="s">
        <v>2</v>
      </c>
      <c r="AI229" s="92" t="s">
        <v>1785</v>
      </c>
      <c r="AJ229" s="92" t="s">
        <v>1787</v>
      </c>
      <c r="AK229" s="92" t="s">
        <v>1779</v>
      </c>
      <c r="AL229" s="92">
        <v>0</v>
      </c>
      <c r="AM229" s="92">
        <v>0</v>
      </c>
    </row>
    <row r="230" spans="2:39">
      <c r="B230" s="122">
        <v>2149</v>
      </c>
      <c r="C230" s="132">
        <v>204286</v>
      </c>
      <c r="D230" s="122" t="s">
        <v>433</v>
      </c>
      <c r="E230" s="92" t="s">
        <v>1626</v>
      </c>
      <c r="F230" t="s">
        <v>470</v>
      </c>
      <c r="I230" s="122">
        <v>28</v>
      </c>
      <c r="J230" s="92"/>
      <c r="K230" s="122">
        <v>0</v>
      </c>
      <c r="L230" s="92" t="s">
        <v>1245</v>
      </c>
      <c r="M230" s="92"/>
      <c r="N230" s="92" t="s">
        <v>646</v>
      </c>
      <c r="O230" s="92" t="s">
        <v>1789</v>
      </c>
      <c r="P230" s="92"/>
      <c r="Q230" s="92" t="s">
        <v>1790</v>
      </c>
      <c r="R230" s="92" t="s">
        <v>1791</v>
      </c>
      <c r="S230" s="133">
        <v>43361</v>
      </c>
      <c r="T230" s="133">
        <v>43361</v>
      </c>
      <c r="U230" s="92" t="s">
        <v>1305</v>
      </c>
      <c r="V230" s="122">
        <v>1200</v>
      </c>
      <c r="W230" s="122">
        <v>14050</v>
      </c>
      <c r="X230" s="113">
        <v>15355.5</v>
      </c>
      <c r="Y230" s="122">
        <v>14056</v>
      </c>
      <c r="Z230" s="113">
        <v>7144.62</v>
      </c>
      <c r="AA230" s="113">
        <v>8210.880000000001</v>
      </c>
      <c r="AB230" s="113">
        <v>426.56</v>
      </c>
      <c r="AC230" s="122">
        <v>54260</v>
      </c>
      <c r="AD230" s="113">
        <v>106.64</v>
      </c>
      <c r="AE230" s="122" t="s">
        <v>433</v>
      </c>
      <c r="AF230" s="92"/>
      <c r="AG230" s="92"/>
      <c r="AH230" s="92" t="s">
        <v>2</v>
      </c>
      <c r="AI230" s="92" t="s">
        <v>1785</v>
      </c>
      <c r="AJ230" s="92" t="s">
        <v>1787</v>
      </c>
      <c r="AK230" s="92" t="s">
        <v>1779</v>
      </c>
      <c r="AL230" s="92">
        <v>0</v>
      </c>
      <c r="AM230" s="92">
        <v>0</v>
      </c>
    </row>
    <row r="231" spans="2:39">
      <c r="B231" s="122">
        <v>2149</v>
      </c>
      <c r="C231" s="132">
        <v>204285</v>
      </c>
      <c r="D231" s="122" t="s">
        <v>433</v>
      </c>
      <c r="E231" s="92" t="s">
        <v>1626</v>
      </c>
      <c r="F231" t="s">
        <v>481</v>
      </c>
      <c r="I231" s="122">
        <v>6</v>
      </c>
      <c r="J231" s="92"/>
      <c r="K231" s="122">
        <v>0</v>
      </c>
      <c r="L231" s="92" t="s">
        <v>1245</v>
      </c>
      <c r="M231" s="92"/>
      <c r="N231" s="92" t="s">
        <v>646</v>
      </c>
      <c r="O231" s="92" t="s">
        <v>1789</v>
      </c>
      <c r="P231" s="92"/>
      <c r="Q231" s="92" t="s">
        <v>1793</v>
      </c>
      <c r="R231" s="92" t="s">
        <v>1794</v>
      </c>
      <c r="S231" s="133">
        <v>43361</v>
      </c>
      <c r="T231" s="133">
        <v>43361</v>
      </c>
      <c r="U231" s="92" t="s">
        <v>1305</v>
      </c>
      <c r="V231" s="122">
        <v>1200</v>
      </c>
      <c r="W231" s="122">
        <v>14050</v>
      </c>
      <c r="X231" s="113">
        <v>52025</v>
      </c>
      <c r="Y231" s="122">
        <v>14056</v>
      </c>
      <c r="Z231" s="113">
        <v>24206.080000000002</v>
      </c>
      <c r="AA231" s="113">
        <v>27818.92</v>
      </c>
      <c r="AB231" s="113">
        <v>1445.12</v>
      </c>
      <c r="AC231" s="122">
        <v>54260</v>
      </c>
      <c r="AD231" s="113">
        <v>361.28</v>
      </c>
      <c r="AE231" s="122" t="s">
        <v>433</v>
      </c>
      <c r="AF231" s="92"/>
      <c r="AG231" s="92"/>
      <c r="AH231" s="92" t="s">
        <v>2</v>
      </c>
      <c r="AI231" s="92" t="s">
        <v>1785</v>
      </c>
      <c r="AJ231" s="92" t="s">
        <v>1787</v>
      </c>
      <c r="AK231" s="92" t="s">
        <v>1779</v>
      </c>
      <c r="AL231" s="92">
        <v>0</v>
      </c>
      <c r="AM231" s="92">
        <v>0</v>
      </c>
    </row>
    <row r="232" spans="2:39">
      <c r="B232" s="122">
        <v>2149</v>
      </c>
      <c r="C232" s="132">
        <v>204284</v>
      </c>
      <c r="D232" s="122" t="s">
        <v>433</v>
      </c>
      <c r="E232" s="92" t="s">
        <v>1626</v>
      </c>
      <c r="F232" t="s">
        <v>480</v>
      </c>
      <c r="I232" s="122">
        <v>2</v>
      </c>
      <c r="J232" s="92"/>
      <c r="K232" s="122">
        <v>0</v>
      </c>
      <c r="L232" s="92" t="s">
        <v>1245</v>
      </c>
      <c r="M232" s="92"/>
      <c r="N232" s="92" t="s">
        <v>646</v>
      </c>
      <c r="O232" s="92" t="s">
        <v>1789</v>
      </c>
      <c r="P232" s="92"/>
      <c r="Q232" s="92" t="s">
        <v>1796</v>
      </c>
      <c r="R232" s="92" t="s">
        <v>1794</v>
      </c>
      <c r="S232" s="133">
        <v>43335</v>
      </c>
      <c r="T232" s="133">
        <v>43335</v>
      </c>
      <c r="U232" s="92" t="s">
        <v>1304</v>
      </c>
      <c r="V232" s="122">
        <v>1200</v>
      </c>
      <c r="W232" s="122">
        <v>14050</v>
      </c>
      <c r="X232" s="113">
        <v>13283.5</v>
      </c>
      <c r="Y232" s="122">
        <v>14056</v>
      </c>
      <c r="Z232" s="113">
        <v>6272.79</v>
      </c>
      <c r="AA232" s="113">
        <v>7010.71</v>
      </c>
      <c r="AB232" s="113">
        <v>369</v>
      </c>
      <c r="AC232" s="122">
        <v>54260</v>
      </c>
      <c r="AD232" s="113">
        <v>92.25</v>
      </c>
      <c r="AE232" s="122" t="s">
        <v>433</v>
      </c>
      <c r="AF232" s="92"/>
      <c r="AG232" s="92"/>
      <c r="AH232" s="92" t="s">
        <v>2</v>
      </c>
      <c r="AI232" s="92" t="s">
        <v>1785</v>
      </c>
      <c r="AJ232" s="92" t="s">
        <v>1787</v>
      </c>
      <c r="AK232" s="92" t="s">
        <v>1779</v>
      </c>
      <c r="AL232" s="92">
        <v>0</v>
      </c>
      <c r="AM232" s="92">
        <v>0</v>
      </c>
    </row>
    <row r="233" spans="2:39">
      <c r="B233" s="122">
        <v>2149</v>
      </c>
      <c r="C233" s="132">
        <v>203953</v>
      </c>
      <c r="D233" s="122" t="s">
        <v>433</v>
      </c>
      <c r="E233" s="92" t="s">
        <v>1626</v>
      </c>
      <c r="F233" t="s">
        <v>469</v>
      </c>
      <c r="I233" s="122">
        <v>47</v>
      </c>
      <c r="J233" s="92"/>
      <c r="K233" s="122">
        <v>0</v>
      </c>
      <c r="L233" s="92" t="s">
        <v>1245</v>
      </c>
      <c r="M233" s="92"/>
      <c r="N233" s="92" t="s">
        <v>646</v>
      </c>
      <c r="O233" s="92" t="s">
        <v>1789</v>
      </c>
      <c r="P233" s="92"/>
      <c r="Q233" s="92" t="s">
        <v>1792</v>
      </c>
      <c r="R233" s="92" t="s">
        <v>1791</v>
      </c>
      <c r="S233" s="133">
        <v>43347</v>
      </c>
      <c r="T233" s="133">
        <v>43347</v>
      </c>
      <c r="U233" s="92" t="s">
        <v>1303</v>
      </c>
      <c r="V233" s="122">
        <v>1200</v>
      </c>
      <c r="W233" s="122">
        <v>14050</v>
      </c>
      <c r="X233" s="113">
        <v>28494.5</v>
      </c>
      <c r="Y233" s="122">
        <v>14056</v>
      </c>
      <c r="Z233" s="113">
        <v>13455.73</v>
      </c>
      <c r="AA233" s="113">
        <v>15038.77</v>
      </c>
      <c r="AB233" s="113">
        <v>791.52</v>
      </c>
      <c r="AC233" s="122">
        <v>54260</v>
      </c>
      <c r="AD233" s="113">
        <v>197.88</v>
      </c>
      <c r="AE233" s="122" t="s">
        <v>433</v>
      </c>
      <c r="AF233" s="92"/>
      <c r="AG233" s="92"/>
      <c r="AH233" s="92" t="s">
        <v>2</v>
      </c>
      <c r="AI233" s="92" t="s">
        <v>1785</v>
      </c>
      <c r="AJ233" s="92" t="s">
        <v>1787</v>
      </c>
      <c r="AK233" s="92" t="s">
        <v>1779</v>
      </c>
      <c r="AL233" s="92">
        <v>0</v>
      </c>
      <c r="AM233" s="92">
        <v>0</v>
      </c>
    </row>
    <row r="234" spans="2:39">
      <c r="B234" s="122">
        <v>2149</v>
      </c>
      <c r="C234" s="132">
        <v>203786</v>
      </c>
      <c r="D234" s="122" t="s">
        <v>433</v>
      </c>
      <c r="E234" s="92" t="s">
        <v>1626</v>
      </c>
      <c r="F234" t="s">
        <v>464</v>
      </c>
      <c r="I234" s="122">
        <v>282</v>
      </c>
      <c r="J234" s="92"/>
      <c r="K234" s="122">
        <v>0</v>
      </c>
      <c r="L234" s="92" t="s">
        <v>1199</v>
      </c>
      <c r="M234" s="92"/>
      <c r="N234" s="92" t="s">
        <v>646</v>
      </c>
      <c r="O234" s="92" t="s">
        <v>1789</v>
      </c>
      <c r="P234" s="92"/>
      <c r="Q234" s="92"/>
      <c r="R234" s="92"/>
      <c r="S234" s="133">
        <v>43337</v>
      </c>
      <c r="T234" s="133">
        <v>43337</v>
      </c>
      <c r="U234" s="92" t="s">
        <v>1302</v>
      </c>
      <c r="V234" s="122">
        <v>700</v>
      </c>
      <c r="W234" s="122">
        <v>14050</v>
      </c>
      <c r="X234" s="113">
        <v>15071.71</v>
      </c>
      <c r="Y234" s="122">
        <v>14056</v>
      </c>
      <c r="Z234" s="113">
        <v>12200.92</v>
      </c>
      <c r="AA234" s="113">
        <v>2870.7899999999991</v>
      </c>
      <c r="AB234" s="113">
        <v>717.72</v>
      </c>
      <c r="AC234" s="122">
        <v>54260</v>
      </c>
      <c r="AD234" s="113">
        <v>179.43</v>
      </c>
      <c r="AE234" s="122" t="s">
        <v>433</v>
      </c>
      <c r="AF234" s="92"/>
      <c r="AG234" s="92"/>
      <c r="AH234" s="92" t="s">
        <v>2</v>
      </c>
      <c r="AI234" s="92" t="s">
        <v>1785</v>
      </c>
      <c r="AJ234" s="92" t="s">
        <v>1787</v>
      </c>
      <c r="AK234" s="92" t="s">
        <v>1779</v>
      </c>
      <c r="AL234" s="92">
        <v>0</v>
      </c>
      <c r="AM234" s="92">
        <v>0</v>
      </c>
    </row>
    <row r="235" spans="2:39">
      <c r="B235" s="122">
        <v>2149</v>
      </c>
      <c r="C235" s="132">
        <v>203785</v>
      </c>
      <c r="D235" s="122" t="s">
        <v>433</v>
      </c>
      <c r="E235" s="92" t="s">
        <v>1626</v>
      </c>
      <c r="F235" t="s">
        <v>459</v>
      </c>
      <c r="I235" s="122">
        <v>150</v>
      </c>
      <c r="J235" s="92"/>
      <c r="K235" s="122">
        <v>0</v>
      </c>
      <c r="L235" s="92" t="s">
        <v>1199</v>
      </c>
      <c r="M235" s="92"/>
      <c r="N235" s="92" t="s">
        <v>646</v>
      </c>
      <c r="O235" s="92" t="s">
        <v>1789</v>
      </c>
      <c r="P235" s="92"/>
      <c r="Q235" s="92"/>
      <c r="R235" s="92"/>
      <c r="S235" s="133">
        <v>43337</v>
      </c>
      <c r="T235" s="133">
        <v>43337</v>
      </c>
      <c r="U235" s="92" t="s">
        <v>1302</v>
      </c>
      <c r="V235" s="122">
        <v>700</v>
      </c>
      <c r="W235" s="122">
        <v>14050</v>
      </c>
      <c r="X235" s="113">
        <v>8016.86</v>
      </c>
      <c r="Y235" s="122">
        <v>14056</v>
      </c>
      <c r="Z235" s="113">
        <v>6489.87</v>
      </c>
      <c r="AA235" s="113">
        <v>1526.9899999999998</v>
      </c>
      <c r="AB235" s="113">
        <v>381.76</v>
      </c>
      <c r="AC235" s="122">
        <v>54260</v>
      </c>
      <c r="AD235" s="113">
        <v>95.44</v>
      </c>
      <c r="AE235" s="122" t="s">
        <v>433</v>
      </c>
      <c r="AF235" s="92"/>
      <c r="AG235" s="92"/>
      <c r="AH235" s="92" t="s">
        <v>2</v>
      </c>
      <c r="AI235" s="92" t="s">
        <v>1785</v>
      </c>
      <c r="AJ235" s="92" t="s">
        <v>1787</v>
      </c>
      <c r="AK235" s="92" t="s">
        <v>1779</v>
      </c>
      <c r="AL235" s="92">
        <v>0</v>
      </c>
      <c r="AM235" s="92">
        <v>0</v>
      </c>
    </row>
    <row r="236" spans="2:39">
      <c r="B236" s="122">
        <v>2149</v>
      </c>
      <c r="C236" s="132">
        <v>203784</v>
      </c>
      <c r="D236" s="122" t="s">
        <v>433</v>
      </c>
      <c r="E236" s="92" t="s">
        <v>1626</v>
      </c>
      <c r="F236" t="s">
        <v>458</v>
      </c>
      <c r="I236" s="122">
        <v>150</v>
      </c>
      <c r="J236" s="92"/>
      <c r="K236" s="122">
        <v>0</v>
      </c>
      <c r="L236" s="92" t="s">
        <v>1199</v>
      </c>
      <c r="M236" s="92"/>
      <c r="N236" s="92" t="s">
        <v>646</v>
      </c>
      <c r="O236" s="92" t="s">
        <v>1789</v>
      </c>
      <c r="P236" s="92"/>
      <c r="Q236" s="92"/>
      <c r="R236" s="92"/>
      <c r="S236" s="133">
        <v>43337</v>
      </c>
      <c r="T236" s="133">
        <v>43337</v>
      </c>
      <c r="U236" s="92" t="s">
        <v>1302</v>
      </c>
      <c r="V236" s="122">
        <v>700</v>
      </c>
      <c r="W236" s="122">
        <v>14050</v>
      </c>
      <c r="X236" s="113">
        <v>7081.05</v>
      </c>
      <c r="Y236" s="122">
        <v>14056</v>
      </c>
      <c r="Z236" s="113">
        <v>5732.29</v>
      </c>
      <c r="AA236" s="113">
        <v>1348.7600000000002</v>
      </c>
      <c r="AB236" s="113">
        <v>337.2</v>
      </c>
      <c r="AC236" s="122">
        <v>54260</v>
      </c>
      <c r="AD236" s="113">
        <v>84.3</v>
      </c>
      <c r="AE236" s="122" t="s">
        <v>433</v>
      </c>
      <c r="AF236" s="92"/>
      <c r="AG236" s="92"/>
      <c r="AH236" s="92" t="s">
        <v>2</v>
      </c>
      <c r="AI236" s="92" t="s">
        <v>1785</v>
      </c>
      <c r="AJ236" s="92" t="s">
        <v>1787</v>
      </c>
      <c r="AK236" s="92" t="s">
        <v>1779</v>
      </c>
      <c r="AL236" s="92">
        <v>0</v>
      </c>
      <c r="AM236" s="92">
        <v>0</v>
      </c>
    </row>
    <row r="237" spans="2:39">
      <c r="B237" s="122">
        <v>2149</v>
      </c>
      <c r="C237" s="132">
        <v>203783</v>
      </c>
      <c r="D237" s="122" t="s">
        <v>433</v>
      </c>
      <c r="E237" s="92" t="s">
        <v>1626</v>
      </c>
      <c r="F237" t="s">
        <v>456</v>
      </c>
      <c r="I237" s="122">
        <v>100</v>
      </c>
      <c r="J237" s="92"/>
      <c r="K237" s="122">
        <v>0</v>
      </c>
      <c r="L237" s="92" t="s">
        <v>1199</v>
      </c>
      <c r="M237" s="92"/>
      <c r="N237" s="92" t="s">
        <v>646</v>
      </c>
      <c r="O237" s="92" t="s">
        <v>1789</v>
      </c>
      <c r="P237" s="92"/>
      <c r="Q237" s="92"/>
      <c r="R237" s="92"/>
      <c r="S237" s="133">
        <v>43337</v>
      </c>
      <c r="T237" s="133">
        <v>43337</v>
      </c>
      <c r="U237" s="92" t="s">
        <v>1302</v>
      </c>
      <c r="V237" s="122">
        <v>700</v>
      </c>
      <c r="W237" s="122">
        <v>14050</v>
      </c>
      <c r="X237" s="113">
        <v>4612.1899999999996</v>
      </c>
      <c r="Y237" s="122">
        <v>14056</v>
      </c>
      <c r="Z237" s="113">
        <v>3733.72</v>
      </c>
      <c r="AA237" s="113">
        <v>878.4699999999998</v>
      </c>
      <c r="AB237" s="113">
        <v>219.64</v>
      </c>
      <c r="AC237" s="122">
        <v>54260</v>
      </c>
      <c r="AD237" s="113">
        <v>54.91</v>
      </c>
      <c r="AE237" s="122" t="s">
        <v>433</v>
      </c>
      <c r="AF237" s="92"/>
      <c r="AG237" s="92"/>
      <c r="AH237" s="92" t="s">
        <v>2</v>
      </c>
      <c r="AI237" s="92" t="s">
        <v>1785</v>
      </c>
      <c r="AJ237" s="92" t="s">
        <v>1787</v>
      </c>
      <c r="AK237" s="92" t="s">
        <v>1779</v>
      </c>
      <c r="AL237" s="92">
        <v>0</v>
      </c>
      <c r="AM237" s="92">
        <v>0</v>
      </c>
    </row>
    <row r="238" spans="2:39">
      <c r="B238" s="122">
        <v>2149</v>
      </c>
      <c r="C238" s="132">
        <v>203682</v>
      </c>
      <c r="D238" s="122">
        <v>202836</v>
      </c>
      <c r="E238" s="92" t="s">
        <v>1626</v>
      </c>
      <c r="F238" t="s">
        <v>475</v>
      </c>
      <c r="I238" s="122">
        <v>1</v>
      </c>
      <c r="J238" s="92"/>
      <c r="K238" s="122">
        <v>0</v>
      </c>
      <c r="L238" s="92" t="s">
        <v>1301</v>
      </c>
      <c r="M238" s="92"/>
      <c r="N238" s="92" t="s">
        <v>1788</v>
      </c>
      <c r="O238" s="92" t="s">
        <v>1789</v>
      </c>
      <c r="P238" s="92" t="s">
        <v>683</v>
      </c>
      <c r="Q238" s="92"/>
      <c r="R238" s="92"/>
      <c r="S238" s="133">
        <v>43373</v>
      </c>
      <c r="T238" s="133">
        <v>43373</v>
      </c>
      <c r="U238" s="92" t="s">
        <v>1299</v>
      </c>
      <c r="V238" s="122">
        <v>1000</v>
      </c>
      <c r="W238" s="122">
        <v>14040</v>
      </c>
      <c r="X238" s="113">
        <v>957</v>
      </c>
      <c r="Y238" s="122">
        <v>14046</v>
      </c>
      <c r="Z238" s="113">
        <v>534.35</v>
      </c>
      <c r="AA238" s="113">
        <v>422.65</v>
      </c>
      <c r="AB238" s="113">
        <v>31.92</v>
      </c>
      <c r="AC238" s="122">
        <v>51260</v>
      </c>
      <c r="AD238" s="113">
        <v>7.98</v>
      </c>
      <c r="AE238" s="122" t="s">
        <v>433</v>
      </c>
      <c r="AF238" s="92"/>
      <c r="AG238" s="92"/>
      <c r="AH238" s="92" t="s">
        <v>2</v>
      </c>
      <c r="AI238" s="92" t="s">
        <v>1785</v>
      </c>
      <c r="AJ238" s="92" t="s">
        <v>1787</v>
      </c>
      <c r="AK238" s="92" t="s">
        <v>1779</v>
      </c>
      <c r="AL238" s="92">
        <v>0</v>
      </c>
      <c r="AM238" s="92">
        <v>0</v>
      </c>
    </row>
    <row r="239" spans="2:39">
      <c r="B239" s="122">
        <v>2149</v>
      </c>
      <c r="C239" s="132">
        <v>203681</v>
      </c>
      <c r="D239" s="122">
        <v>202835</v>
      </c>
      <c r="E239" s="92" t="s">
        <v>1626</v>
      </c>
      <c r="F239" t="s">
        <v>475</v>
      </c>
      <c r="I239" s="122">
        <v>1</v>
      </c>
      <c r="J239" s="92"/>
      <c r="K239" s="122">
        <v>0</v>
      </c>
      <c r="L239" s="92" t="s">
        <v>1301</v>
      </c>
      <c r="M239" s="92"/>
      <c r="N239" s="92" t="s">
        <v>1788</v>
      </c>
      <c r="O239" s="92" t="s">
        <v>1789</v>
      </c>
      <c r="P239" s="92" t="s">
        <v>683</v>
      </c>
      <c r="Q239" s="92"/>
      <c r="R239" s="92"/>
      <c r="S239" s="133">
        <v>43373</v>
      </c>
      <c r="T239" s="133">
        <v>43373</v>
      </c>
      <c r="U239" s="92" t="s">
        <v>1296</v>
      </c>
      <c r="V239" s="122">
        <v>1000</v>
      </c>
      <c r="W239" s="122">
        <v>14040</v>
      </c>
      <c r="X239" s="113">
        <v>957</v>
      </c>
      <c r="Y239" s="122">
        <v>14046</v>
      </c>
      <c r="Z239" s="113">
        <v>534.35</v>
      </c>
      <c r="AA239" s="113">
        <v>422.65</v>
      </c>
      <c r="AB239" s="113">
        <v>31.92</v>
      </c>
      <c r="AC239" s="122">
        <v>51260</v>
      </c>
      <c r="AD239" s="113">
        <v>7.98</v>
      </c>
      <c r="AE239" s="122" t="s">
        <v>433</v>
      </c>
      <c r="AF239" s="92"/>
      <c r="AG239" s="92"/>
      <c r="AH239" s="92" t="s">
        <v>2</v>
      </c>
      <c r="AI239" s="92" t="s">
        <v>1785</v>
      </c>
      <c r="AJ239" s="92" t="s">
        <v>1787</v>
      </c>
      <c r="AK239" s="92" t="s">
        <v>1779</v>
      </c>
      <c r="AL239" s="92">
        <v>0</v>
      </c>
      <c r="AM239" s="92">
        <v>0</v>
      </c>
    </row>
    <row r="240" spans="2:39">
      <c r="B240" s="122">
        <v>2149</v>
      </c>
      <c r="C240" s="132">
        <v>203539</v>
      </c>
      <c r="D240" s="122" t="s">
        <v>433</v>
      </c>
      <c r="E240" s="92" t="s">
        <v>1626</v>
      </c>
      <c r="F240" t="s">
        <v>486</v>
      </c>
      <c r="I240" s="122">
        <v>1</v>
      </c>
      <c r="J240" s="92" t="s">
        <v>618</v>
      </c>
      <c r="K240" s="122">
        <v>2000</v>
      </c>
      <c r="L240" s="92" t="s">
        <v>1300</v>
      </c>
      <c r="M240" s="92" t="s">
        <v>1300</v>
      </c>
      <c r="N240" s="92" t="s">
        <v>1788</v>
      </c>
      <c r="O240" s="92" t="s">
        <v>1789</v>
      </c>
      <c r="P240" s="92" t="s">
        <v>1817</v>
      </c>
      <c r="Q240" s="92"/>
      <c r="R240" s="92"/>
      <c r="S240" s="133">
        <v>39755</v>
      </c>
      <c r="T240" s="133">
        <v>39755</v>
      </c>
      <c r="U240" s="92"/>
      <c r="V240" s="122">
        <v>300</v>
      </c>
      <c r="W240" s="122">
        <v>14040</v>
      </c>
      <c r="X240" s="113">
        <v>18000</v>
      </c>
      <c r="Y240" s="122">
        <v>14046</v>
      </c>
      <c r="Z240" s="113">
        <v>18000</v>
      </c>
      <c r="AA240" s="113">
        <v>0</v>
      </c>
      <c r="AB240" s="113">
        <v>0</v>
      </c>
      <c r="AC240" s="122">
        <v>51260</v>
      </c>
      <c r="AD240" s="113">
        <v>0</v>
      </c>
      <c r="AE240" s="122" t="s">
        <v>663</v>
      </c>
      <c r="AF240" s="92" t="s">
        <v>905</v>
      </c>
      <c r="AG240" s="92">
        <v>8019</v>
      </c>
      <c r="AH240" s="92" t="s">
        <v>2</v>
      </c>
      <c r="AI240" s="92" t="s">
        <v>1785</v>
      </c>
      <c r="AJ240" s="92" t="s">
        <v>1787</v>
      </c>
      <c r="AK240" s="92" t="s">
        <v>1779</v>
      </c>
      <c r="AL240" s="92">
        <v>0</v>
      </c>
      <c r="AM240" s="92">
        <v>0</v>
      </c>
    </row>
    <row r="241" spans="2:39">
      <c r="B241" s="122">
        <v>2149</v>
      </c>
      <c r="C241" s="132">
        <v>202836</v>
      </c>
      <c r="D241" s="122" t="s">
        <v>433</v>
      </c>
      <c r="E241" s="92" t="s">
        <v>1626</v>
      </c>
      <c r="F241" t="s">
        <v>1298</v>
      </c>
      <c r="I241" s="122">
        <v>1</v>
      </c>
      <c r="J241" s="92" t="s">
        <v>605</v>
      </c>
      <c r="K241" s="122">
        <v>2019</v>
      </c>
      <c r="L241" s="92" t="s">
        <v>1146</v>
      </c>
      <c r="M241" s="92" t="s">
        <v>854</v>
      </c>
      <c r="N241" s="92" t="s">
        <v>1788</v>
      </c>
      <c r="O241" s="92" t="s">
        <v>1789</v>
      </c>
      <c r="P241" s="92" t="s">
        <v>1814</v>
      </c>
      <c r="Q241" s="92"/>
      <c r="R241" s="92"/>
      <c r="S241" s="133">
        <v>43373</v>
      </c>
      <c r="T241" s="133">
        <v>43373</v>
      </c>
      <c r="U241" s="92" t="s">
        <v>1299</v>
      </c>
      <c r="V241" s="122">
        <v>1000</v>
      </c>
      <c r="W241" s="122">
        <v>14040</v>
      </c>
      <c r="X241" s="113">
        <v>338950.96</v>
      </c>
      <c r="Y241" s="122">
        <v>14046</v>
      </c>
      <c r="Z241" s="113">
        <v>189247.63</v>
      </c>
      <c r="AA241" s="113">
        <v>149703.33000000002</v>
      </c>
      <c r="AB241" s="113">
        <v>11298.36</v>
      </c>
      <c r="AC241" s="122">
        <v>51260</v>
      </c>
      <c r="AD241" s="113">
        <v>2824.59</v>
      </c>
      <c r="AE241" s="122" t="s">
        <v>433</v>
      </c>
      <c r="AF241" s="92"/>
      <c r="AG241" s="92">
        <v>39</v>
      </c>
      <c r="AH241" s="92" t="s">
        <v>2</v>
      </c>
      <c r="AI241" s="92" t="s">
        <v>1785</v>
      </c>
      <c r="AJ241" s="92" t="s">
        <v>1787</v>
      </c>
      <c r="AK241" s="92" t="s">
        <v>1779</v>
      </c>
      <c r="AL241" s="92">
        <v>0</v>
      </c>
      <c r="AM241" s="92">
        <v>0</v>
      </c>
    </row>
    <row r="242" spans="2:39">
      <c r="B242" s="122">
        <v>2149</v>
      </c>
      <c r="C242" s="132">
        <v>202835</v>
      </c>
      <c r="D242" s="122" t="s">
        <v>433</v>
      </c>
      <c r="E242" s="92" t="s">
        <v>1626</v>
      </c>
      <c r="F242" t="s">
        <v>1298</v>
      </c>
      <c r="I242" s="122">
        <v>1</v>
      </c>
      <c r="J242" s="92" t="s">
        <v>604</v>
      </c>
      <c r="K242" s="122">
        <v>2019</v>
      </c>
      <c r="L242" s="92" t="s">
        <v>1146</v>
      </c>
      <c r="M242" s="92" t="s">
        <v>854</v>
      </c>
      <c r="N242" s="92" t="s">
        <v>1788</v>
      </c>
      <c r="O242" s="92" t="s">
        <v>1789</v>
      </c>
      <c r="P242" s="92" t="s">
        <v>1814</v>
      </c>
      <c r="Q242" s="92"/>
      <c r="R242" s="92"/>
      <c r="S242" s="133">
        <v>43373</v>
      </c>
      <c r="T242" s="133">
        <v>43373</v>
      </c>
      <c r="U242" s="92" t="s">
        <v>1296</v>
      </c>
      <c r="V242" s="122">
        <v>1000</v>
      </c>
      <c r="W242" s="122">
        <v>14040</v>
      </c>
      <c r="X242" s="113">
        <v>338950.96</v>
      </c>
      <c r="Y242" s="122">
        <v>14046</v>
      </c>
      <c r="Z242" s="113">
        <v>189247.63</v>
      </c>
      <c r="AA242" s="113">
        <v>149703.33000000002</v>
      </c>
      <c r="AB242" s="113">
        <v>11298.36</v>
      </c>
      <c r="AC242" s="122">
        <v>51260</v>
      </c>
      <c r="AD242" s="113">
        <v>2824.59</v>
      </c>
      <c r="AE242" s="122" t="s">
        <v>433</v>
      </c>
      <c r="AF242" s="92"/>
      <c r="AG242" s="92">
        <v>38</v>
      </c>
      <c r="AH242" s="92" t="s">
        <v>2</v>
      </c>
      <c r="AI242" s="92" t="s">
        <v>1785</v>
      </c>
      <c r="AJ242" s="92" t="s">
        <v>1787</v>
      </c>
      <c r="AK242" s="92" t="s">
        <v>1779</v>
      </c>
      <c r="AL242" s="92">
        <v>0</v>
      </c>
      <c r="AM242" s="92">
        <v>0</v>
      </c>
    </row>
    <row r="243" spans="2:39">
      <c r="B243" s="122">
        <v>2149</v>
      </c>
      <c r="C243" s="132">
        <v>202595</v>
      </c>
      <c r="D243" s="122">
        <v>202835</v>
      </c>
      <c r="E243" s="92" t="s">
        <v>1626</v>
      </c>
      <c r="F243" t="s">
        <v>474</v>
      </c>
      <c r="I243" s="122">
        <v>1</v>
      </c>
      <c r="J243" s="92"/>
      <c r="K243" s="122">
        <v>0</v>
      </c>
      <c r="L243" s="92" t="s">
        <v>1297</v>
      </c>
      <c r="M243" s="92"/>
      <c r="N243" s="92" t="s">
        <v>1788</v>
      </c>
      <c r="O243" s="92" t="s">
        <v>1789</v>
      </c>
      <c r="P243" s="92" t="s">
        <v>683</v>
      </c>
      <c r="Q243" s="92"/>
      <c r="R243" s="92"/>
      <c r="S243" s="133">
        <v>43319</v>
      </c>
      <c r="T243" s="133">
        <v>43319</v>
      </c>
      <c r="U243" s="92" t="s">
        <v>1296</v>
      </c>
      <c r="V243" s="122">
        <v>500</v>
      </c>
      <c r="W243" s="122">
        <v>14040</v>
      </c>
      <c r="X243" s="113">
        <v>967.82</v>
      </c>
      <c r="Y243" s="122">
        <v>14046</v>
      </c>
      <c r="Z243" s="113">
        <v>967.82</v>
      </c>
      <c r="AA243" s="113">
        <v>0</v>
      </c>
      <c r="AB243" s="113">
        <v>0</v>
      </c>
      <c r="AC243" s="122">
        <v>51260</v>
      </c>
      <c r="AD243" s="113">
        <v>0</v>
      </c>
      <c r="AE243" s="122" t="s">
        <v>433</v>
      </c>
      <c r="AF243" s="92"/>
      <c r="AG243" s="92"/>
      <c r="AH243" s="92" t="s">
        <v>2</v>
      </c>
      <c r="AI243" s="92" t="s">
        <v>1785</v>
      </c>
      <c r="AJ243" s="92" t="s">
        <v>1787</v>
      </c>
      <c r="AK243" s="92" t="s">
        <v>1779</v>
      </c>
      <c r="AL243" s="92">
        <v>0</v>
      </c>
      <c r="AM243" s="92">
        <v>0</v>
      </c>
    </row>
    <row r="244" spans="2:39">
      <c r="B244" s="122">
        <v>2149</v>
      </c>
      <c r="C244" s="132">
        <v>201329</v>
      </c>
      <c r="D244" s="122" t="s">
        <v>433</v>
      </c>
      <c r="E244" s="92" t="s">
        <v>1626</v>
      </c>
      <c r="F244" t="s">
        <v>471</v>
      </c>
      <c r="I244" s="122">
        <v>25</v>
      </c>
      <c r="J244" s="92"/>
      <c r="K244" s="122">
        <v>0</v>
      </c>
      <c r="L244" s="92" t="s">
        <v>1295</v>
      </c>
      <c r="M244" s="92"/>
      <c r="N244" s="92" t="s">
        <v>646</v>
      </c>
      <c r="O244" s="92" t="s">
        <v>1789</v>
      </c>
      <c r="P244" s="92"/>
      <c r="Q244" s="92"/>
      <c r="R244" s="92"/>
      <c r="S244" s="133">
        <v>43282</v>
      </c>
      <c r="T244" s="133">
        <v>43282</v>
      </c>
      <c r="U244" s="92" t="s">
        <v>1294</v>
      </c>
      <c r="V244" s="122">
        <v>700</v>
      </c>
      <c r="W244" s="122">
        <v>14050</v>
      </c>
      <c r="X244" s="113">
        <v>7969.33</v>
      </c>
      <c r="Y244" s="122">
        <v>14056</v>
      </c>
      <c r="Z244" s="113">
        <v>6641.12</v>
      </c>
      <c r="AA244" s="113">
        <v>1328.21</v>
      </c>
      <c r="AB244" s="113">
        <v>379.48</v>
      </c>
      <c r="AC244" s="122">
        <v>54260</v>
      </c>
      <c r="AD244" s="113">
        <v>94.87</v>
      </c>
      <c r="AE244" s="122" t="s">
        <v>433</v>
      </c>
      <c r="AF244" s="92"/>
      <c r="AG244" s="92"/>
      <c r="AH244" s="92" t="s">
        <v>2</v>
      </c>
      <c r="AI244" s="92" t="s">
        <v>1785</v>
      </c>
      <c r="AJ244" s="92" t="s">
        <v>1787</v>
      </c>
      <c r="AK244" s="92" t="s">
        <v>1779</v>
      </c>
      <c r="AL244" s="92">
        <v>0</v>
      </c>
      <c r="AM244" s="92">
        <v>0</v>
      </c>
    </row>
    <row r="245" spans="2:39">
      <c r="B245" s="122">
        <v>2149</v>
      </c>
      <c r="C245" s="132">
        <v>198004</v>
      </c>
      <c r="D245" s="122" t="s">
        <v>433</v>
      </c>
      <c r="E245" s="92" t="s">
        <v>1626</v>
      </c>
      <c r="F245" t="s">
        <v>468</v>
      </c>
      <c r="I245" s="122">
        <v>10</v>
      </c>
      <c r="J245" s="92"/>
      <c r="K245" s="122">
        <v>0</v>
      </c>
      <c r="L245" s="92"/>
      <c r="M245" s="92"/>
      <c r="N245" s="92" t="s">
        <v>646</v>
      </c>
      <c r="O245" s="92" t="s">
        <v>1789</v>
      </c>
      <c r="P245" s="92"/>
      <c r="Q245" s="92" t="s">
        <v>1792</v>
      </c>
      <c r="R245" s="92" t="s">
        <v>1791</v>
      </c>
      <c r="S245" s="133">
        <v>43252</v>
      </c>
      <c r="T245" s="133">
        <v>43252</v>
      </c>
      <c r="U245" s="92"/>
      <c r="V245" s="122">
        <v>0</v>
      </c>
      <c r="W245" s="122">
        <v>14050</v>
      </c>
      <c r="X245" s="113">
        <v>0</v>
      </c>
      <c r="Y245" s="122">
        <v>14056</v>
      </c>
      <c r="Z245" s="113">
        <v>0</v>
      </c>
      <c r="AA245" s="113">
        <v>0</v>
      </c>
      <c r="AB245" s="113">
        <v>0</v>
      </c>
      <c r="AC245" s="122">
        <v>54260</v>
      </c>
      <c r="AD245" s="113">
        <v>0</v>
      </c>
      <c r="AE245" s="122" t="s">
        <v>433</v>
      </c>
      <c r="AF245" s="92"/>
      <c r="AG245" s="92"/>
      <c r="AH245" s="92" t="s">
        <v>2</v>
      </c>
      <c r="AI245" s="92" t="s">
        <v>1785</v>
      </c>
      <c r="AJ245" s="92" t="s">
        <v>662</v>
      </c>
      <c r="AK245" s="92" t="s">
        <v>1779</v>
      </c>
      <c r="AL245" s="92">
        <v>0</v>
      </c>
      <c r="AM245" s="92">
        <v>0</v>
      </c>
    </row>
    <row r="246" spans="2:39">
      <c r="B246" s="122">
        <v>2149</v>
      </c>
      <c r="C246" s="132">
        <v>197274</v>
      </c>
      <c r="D246" s="122" t="s">
        <v>433</v>
      </c>
      <c r="E246" s="92" t="s">
        <v>1626</v>
      </c>
      <c r="F246" t="s">
        <v>463</v>
      </c>
      <c r="I246" s="122">
        <v>280</v>
      </c>
      <c r="J246" s="92"/>
      <c r="K246" s="122">
        <v>0</v>
      </c>
      <c r="L246" s="92" t="s">
        <v>1199</v>
      </c>
      <c r="M246" s="92"/>
      <c r="N246" s="92" t="s">
        <v>646</v>
      </c>
      <c r="O246" s="92" t="s">
        <v>1789</v>
      </c>
      <c r="P246" s="92"/>
      <c r="Q246" s="92"/>
      <c r="R246" s="92"/>
      <c r="S246" s="133">
        <v>43209</v>
      </c>
      <c r="T246" s="133">
        <v>43209</v>
      </c>
      <c r="U246" s="92" t="s">
        <v>1293</v>
      </c>
      <c r="V246" s="122">
        <v>700</v>
      </c>
      <c r="W246" s="122">
        <v>14050</v>
      </c>
      <c r="X246" s="113">
        <v>14627.56</v>
      </c>
      <c r="Y246" s="122">
        <v>14056</v>
      </c>
      <c r="Z246" s="113">
        <v>12537.91</v>
      </c>
      <c r="AA246" s="113">
        <v>2089.6499999999996</v>
      </c>
      <c r="AB246" s="113">
        <v>696.56</v>
      </c>
      <c r="AC246" s="122">
        <v>54260</v>
      </c>
      <c r="AD246" s="113">
        <v>174.14</v>
      </c>
      <c r="AE246" s="122" t="s">
        <v>433</v>
      </c>
      <c r="AF246" s="92"/>
      <c r="AG246" s="92"/>
      <c r="AH246" s="92" t="s">
        <v>2</v>
      </c>
      <c r="AI246" s="92" t="s">
        <v>1785</v>
      </c>
      <c r="AJ246" s="92" t="s">
        <v>1787</v>
      </c>
      <c r="AK246" s="92" t="s">
        <v>1779</v>
      </c>
      <c r="AL246" s="92">
        <v>0</v>
      </c>
      <c r="AM246" s="92">
        <v>0</v>
      </c>
    </row>
    <row r="247" spans="2:39">
      <c r="B247" s="122">
        <v>2149</v>
      </c>
      <c r="C247" s="132">
        <v>197273</v>
      </c>
      <c r="D247" s="122" t="s">
        <v>433</v>
      </c>
      <c r="E247" s="92" t="s">
        <v>1626</v>
      </c>
      <c r="F247" t="s">
        <v>460</v>
      </c>
      <c r="I247" s="122">
        <v>150</v>
      </c>
      <c r="J247" s="92"/>
      <c r="K247" s="122">
        <v>0</v>
      </c>
      <c r="L247" s="92" t="s">
        <v>1199</v>
      </c>
      <c r="M247" s="92"/>
      <c r="N247" s="92" t="s">
        <v>646</v>
      </c>
      <c r="O247" s="92" t="s">
        <v>1789</v>
      </c>
      <c r="P247" s="92"/>
      <c r="Q247" s="92"/>
      <c r="R247" s="92"/>
      <c r="S247" s="133">
        <v>43209</v>
      </c>
      <c r="T247" s="133">
        <v>43209</v>
      </c>
      <c r="U247" s="92" t="s">
        <v>1293</v>
      </c>
      <c r="V247" s="122">
        <v>700</v>
      </c>
      <c r="W247" s="122">
        <v>14050</v>
      </c>
      <c r="X247" s="113">
        <v>7836.19</v>
      </c>
      <c r="Y247" s="122">
        <v>14056</v>
      </c>
      <c r="Z247" s="113">
        <v>6716.76</v>
      </c>
      <c r="AA247" s="113">
        <v>1119.4299999999994</v>
      </c>
      <c r="AB247" s="113">
        <v>373.16</v>
      </c>
      <c r="AC247" s="122">
        <v>54260</v>
      </c>
      <c r="AD247" s="113">
        <v>93.29</v>
      </c>
      <c r="AE247" s="122" t="s">
        <v>433</v>
      </c>
      <c r="AF247" s="92"/>
      <c r="AG247" s="92"/>
      <c r="AH247" s="92" t="s">
        <v>2</v>
      </c>
      <c r="AI247" s="92" t="s">
        <v>1785</v>
      </c>
      <c r="AJ247" s="92" t="s">
        <v>1787</v>
      </c>
      <c r="AK247" s="92" t="s">
        <v>1779</v>
      </c>
      <c r="AL247" s="92">
        <v>0</v>
      </c>
      <c r="AM247" s="92">
        <v>0</v>
      </c>
    </row>
    <row r="248" spans="2:39">
      <c r="B248" s="122">
        <v>2149</v>
      </c>
      <c r="C248" s="132">
        <v>197272</v>
      </c>
      <c r="D248" s="122" t="s">
        <v>433</v>
      </c>
      <c r="E248" s="92" t="s">
        <v>1626</v>
      </c>
      <c r="F248" t="s">
        <v>461</v>
      </c>
      <c r="I248" s="122">
        <v>100</v>
      </c>
      <c r="J248" s="92"/>
      <c r="K248" s="122">
        <v>0</v>
      </c>
      <c r="L248" s="92" t="s">
        <v>1199</v>
      </c>
      <c r="M248" s="92"/>
      <c r="N248" s="92" t="s">
        <v>646</v>
      </c>
      <c r="O248" s="92" t="s">
        <v>1789</v>
      </c>
      <c r="P248" s="92"/>
      <c r="Q248" s="92"/>
      <c r="R248" s="92"/>
      <c r="S248" s="133">
        <v>43209</v>
      </c>
      <c r="T248" s="133">
        <v>43209</v>
      </c>
      <c r="U248" s="92" t="s">
        <v>1293</v>
      </c>
      <c r="V248" s="122">
        <v>700</v>
      </c>
      <c r="W248" s="122">
        <v>14050</v>
      </c>
      <c r="X248" s="113">
        <v>4627.38</v>
      </c>
      <c r="Y248" s="122">
        <v>14056</v>
      </c>
      <c r="Z248" s="113">
        <v>3966.36</v>
      </c>
      <c r="AA248" s="113">
        <v>661.02</v>
      </c>
      <c r="AB248" s="113">
        <v>220.36</v>
      </c>
      <c r="AC248" s="122">
        <v>54260</v>
      </c>
      <c r="AD248" s="113">
        <v>55.09</v>
      </c>
      <c r="AE248" s="122" t="s">
        <v>433</v>
      </c>
      <c r="AF248" s="92"/>
      <c r="AG248" s="92"/>
      <c r="AH248" s="92" t="s">
        <v>2</v>
      </c>
      <c r="AI248" s="92" t="s">
        <v>1785</v>
      </c>
      <c r="AJ248" s="92" t="s">
        <v>1787</v>
      </c>
      <c r="AK248" s="92" t="s">
        <v>1779</v>
      </c>
      <c r="AL248" s="92">
        <v>0</v>
      </c>
      <c r="AM248" s="92">
        <v>0</v>
      </c>
    </row>
    <row r="249" spans="2:39">
      <c r="B249" s="122">
        <v>2149</v>
      </c>
      <c r="C249" s="132">
        <v>197271</v>
      </c>
      <c r="D249" s="122" t="s">
        <v>433</v>
      </c>
      <c r="E249" s="92" t="s">
        <v>1626</v>
      </c>
      <c r="F249" t="s">
        <v>462</v>
      </c>
      <c r="I249" s="122">
        <v>200</v>
      </c>
      <c r="J249" s="92"/>
      <c r="K249" s="122">
        <v>0</v>
      </c>
      <c r="L249" s="92" t="s">
        <v>1199</v>
      </c>
      <c r="M249" s="92"/>
      <c r="N249" s="92" t="s">
        <v>646</v>
      </c>
      <c r="O249" s="92" t="s">
        <v>1789</v>
      </c>
      <c r="P249" s="92"/>
      <c r="Q249" s="92"/>
      <c r="R249" s="92"/>
      <c r="S249" s="133">
        <v>43209</v>
      </c>
      <c r="T249" s="133">
        <v>43209</v>
      </c>
      <c r="U249" s="92" t="s">
        <v>1293</v>
      </c>
      <c r="V249" s="122">
        <v>700</v>
      </c>
      <c r="W249" s="122">
        <v>14050</v>
      </c>
      <c r="X249" s="113">
        <v>8278.25</v>
      </c>
      <c r="Y249" s="122">
        <v>14056</v>
      </c>
      <c r="Z249" s="113">
        <v>7095.66</v>
      </c>
      <c r="AA249" s="113">
        <v>1182.5900000000001</v>
      </c>
      <c r="AB249" s="113">
        <v>394.2</v>
      </c>
      <c r="AC249" s="122">
        <v>54260</v>
      </c>
      <c r="AD249" s="113">
        <v>98.55</v>
      </c>
      <c r="AE249" s="122" t="s">
        <v>433</v>
      </c>
      <c r="AF249" s="92"/>
      <c r="AG249" s="92"/>
      <c r="AH249" s="92" t="s">
        <v>2</v>
      </c>
      <c r="AI249" s="92" t="s">
        <v>1785</v>
      </c>
      <c r="AJ249" s="92" t="s">
        <v>1787</v>
      </c>
      <c r="AK249" s="92" t="s">
        <v>1779</v>
      </c>
      <c r="AL249" s="92">
        <v>0</v>
      </c>
      <c r="AM249" s="92">
        <v>0</v>
      </c>
    </row>
    <row r="250" spans="2:39">
      <c r="B250" s="122">
        <v>2149</v>
      </c>
      <c r="C250" s="132">
        <v>195654</v>
      </c>
      <c r="D250" s="122" t="s">
        <v>433</v>
      </c>
      <c r="E250" s="92" t="s">
        <v>1626</v>
      </c>
      <c r="F250" t="s">
        <v>483</v>
      </c>
      <c r="I250" s="122">
        <v>1</v>
      </c>
      <c r="J250" s="92"/>
      <c r="K250" s="122">
        <v>0</v>
      </c>
      <c r="L250" s="92" t="s">
        <v>1289</v>
      </c>
      <c r="M250" s="92"/>
      <c r="N250" s="92" t="s">
        <v>1800</v>
      </c>
      <c r="O250" s="92" t="s">
        <v>1800</v>
      </c>
      <c r="P250" s="92"/>
      <c r="Q250" s="92"/>
      <c r="R250" s="92"/>
      <c r="S250" s="133">
        <v>43190</v>
      </c>
      <c r="T250" s="133">
        <v>43190</v>
      </c>
      <c r="U250" s="92" t="s">
        <v>1288</v>
      </c>
      <c r="V250" s="122">
        <v>1000</v>
      </c>
      <c r="W250" s="122">
        <v>14090</v>
      </c>
      <c r="X250" s="113">
        <v>36063.39</v>
      </c>
      <c r="Y250" s="122">
        <v>14096</v>
      </c>
      <c r="Z250" s="113">
        <v>21938.58</v>
      </c>
      <c r="AA250" s="113">
        <v>14124.809999999998</v>
      </c>
      <c r="AB250" s="113">
        <v>1202.1199999999999</v>
      </c>
      <c r="AC250" s="122">
        <v>57260</v>
      </c>
      <c r="AD250" s="113">
        <v>300.52999999999997</v>
      </c>
      <c r="AE250" s="122" t="s">
        <v>433</v>
      </c>
      <c r="AF250" s="92"/>
      <c r="AG250" s="92"/>
      <c r="AH250" s="92" t="s">
        <v>2</v>
      </c>
      <c r="AI250" s="92" t="s">
        <v>1785</v>
      </c>
      <c r="AJ250" s="92" t="s">
        <v>1787</v>
      </c>
      <c r="AK250" s="92" t="s">
        <v>1779</v>
      </c>
      <c r="AL250" s="92">
        <v>0</v>
      </c>
      <c r="AM250" s="92">
        <v>0</v>
      </c>
    </row>
    <row r="251" spans="2:39">
      <c r="B251" s="122">
        <v>2149</v>
      </c>
      <c r="C251" s="132">
        <v>195624</v>
      </c>
      <c r="D251" s="122" t="s">
        <v>433</v>
      </c>
      <c r="E251" s="92" t="s">
        <v>1626</v>
      </c>
      <c r="F251" t="s">
        <v>473</v>
      </c>
      <c r="I251" s="122">
        <v>50</v>
      </c>
      <c r="J251" s="92"/>
      <c r="K251" s="122">
        <v>0</v>
      </c>
      <c r="L251" s="92" t="s">
        <v>1199</v>
      </c>
      <c r="M251" s="92"/>
      <c r="N251" s="92" t="s">
        <v>646</v>
      </c>
      <c r="O251" s="92" t="s">
        <v>1789</v>
      </c>
      <c r="P251" s="92"/>
      <c r="Q251" s="92"/>
      <c r="R251" s="92"/>
      <c r="S251" s="133">
        <v>43202</v>
      </c>
      <c r="T251" s="133">
        <v>43202</v>
      </c>
      <c r="U251" s="92" t="s">
        <v>1292</v>
      </c>
      <c r="V251" s="122">
        <v>700</v>
      </c>
      <c r="W251" s="122">
        <v>14050</v>
      </c>
      <c r="X251" s="113">
        <v>3660.96</v>
      </c>
      <c r="Y251" s="122">
        <v>14056</v>
      </c>
      <c r="Z251" s="113">
        <v>3181.57</v>
      </c>
      <c r="AA251" s="113">
        <v>479.38999999999987</v>
      </c>
      <c r="AB251" s="113">
        <v>174.32</v>
      </c>
      <c r="AC251" s="122">
        <v>54260</v>
      </c>
      <c r="AD251" s="113">
        <v>43.58</v>
      </c>
      <c r="AE251" s="122" t="s">
        <v>433</v>
      </c>
      <c r="AF251" s="92"/>
      <c r="AG251" s="92"/>
      <c r="AH251" s="92" t="s">
        <v>2</v>
      </c>
      <c r="AI251" s="92" t="s">
        <v>1785</v>
      </c>
      <c r="AJ251" s="92" t="s">
        <v>1787</v>
      </c>
      <c r="AK251" s="92" t="s">
        <v>1779</v>
      </c>
      <c r="AL251" s="92">
        <v>0</v>
      </c>
      <c r="AM251" s="92">
        <v>0</v>
      </c>
    </row>
    <row r="252" spans="2:39">
      <c r="B252" s="122">
        <v>2149</v>
      </c>
      <c r="C252" s="132">
        <v>195623</v>
      </c>
      <c r="D252" s="122" t="s">
        <v>433</v>
      </c>
      <c r="E252" s="92" t="s">
        <v>1626</v>
      </c>
      <c r="F252" t="s">
        <v>463</v>
      </c>
      <c r="I252" s="122">
        <v>362</v>
      </c>
      <c r="J252" s="92"/>
      <c r="K252" s="122">
        <v>0</v>
      </c>
      <c r="L252" s="92" t="s">
        <v>1199</v>
      </c>
      <c r="M252" s="92"/>
      <c r="N252" s="92" t="s">
        <v>646</v>
      </c>
      <c r="O252" s="92" t="s">
        <v>1789</v>
      </c>
      <c r="P252" s="92"/>
      <c r="Q252" s="92"/>
      <c r="R252" s="92"/>
      <c r="S252" s="133">
        <v>43202</v>
      </c>
      <c r="T252" s="133">
        <v>43202</v>
      </c>
      <c r="U252" s="92" t="s">
        <v>1292</v>
      </c>
      <c r="V252" s="122">
        <v>700</v>
      </c>
      <c r="W252" s="122">
        <v>14050</v>
      </c>
      <c r="X252" s="113">
        <v>19046.66</v>
      </c>
      <c r="Y252" s="122">
        <v>14056</v>
      </c>
      <c r="Z252" s="113">
        <v>16552.46</v>
      </c>
      <c r="AA252" s="113">
        <v>2494.2000000000007</v>
      </c>
      <c r="AB252" s="113">
        <v>907</v>
      </c>
      <c r="AC252" s="122">
        <v>54260</v>
      </c>
      <c r="AD252" s="113">
        <v>226.75</v>
      </c>
      <c r="AE252" s="122" t="s">
        <v>433</v>
      </c>
      <c r="AF252" s="92"/>
      <c r="AG252" s="92"/>
      <c r="AH252" s="92" t="s">
        <v>2</v>
      </c>
      <c r="AI252" s="92" t="s">
        <v>1785</v>
      </c>
      <c r="AJ252" s="92" t="s">
        <v>1787</v>
      </c>
      <c r="AK252" s="92" t="s">
        <v>1779</v>
      </c>
      <c r="AL252" s="92">
        <v>0</v>
      </c>
      <c r="AM252" s="92">
        <v>0</v>
      </c>
    </row>
    <row r="253" spans="2:39">
      <c r="B253" s="122">
        <v>2149</v>
      </c>
      <c r="C253" s="132">
        <v>195622</v>
      </c>
      <c r="D253" s="122" t="s">
        <v>433</v>
      </c>
      <c r="E253" s="92" t="s">
        <v>1626</v>
      </c>
      <c r="F253" t="s">
        <v>460</v>
      </c>
      <c r="I253" s="122">
        <v>50</v>
      </c>
      <c r="J253" s="92"/>
      <c r="K253" s="122">
        <v>0</v>
      </c>
      <c r="L253" s="92" t="s">
        <v>1199</v>
      </c>
      <c r="M253" s="92"/>
      <c r="N253" s="92" t="s">
        <v>646</v>
      </c>
      <c r="O253" s="92" t="s">
        <v>1789</v>
      </c>
      <c r="P253" s="92"/>
      <c r="Q253" s="92"/>
      <c r="R253" s="92"/>
      <c r="S253" s="133">
        <v>43202</v>
      </c>
      <c r="T253" s="133">
        <v>43202</v>
      </c>
      <c r="U253" s="92" t="s">
        <v>1292</v>
      </c>
      <c r="V253" s="122">
        <v>700</v>
      </c>
      <c r="W253" s="122">
        <v>14050</v>
      </c>
      <c r="X253" s="113">
        <v>2630.75</v>
      </c>
      <c r="Y253" s="122">
        <v>14056</v>
      </c>
      <c r="Z253" s="113">
        <v>2286.25</v>
      </c>
      <c r="AA253" s="113">
        <v>344.5</v>
      </c>
      <c r="AB253" s="113">
        <v>125.28</v>
      </c>
      <c r="AC253" s="122">
        <v>54260</v>
      </c>
      <c r="AD253" s="113">
        <v>31.32</v>
      </c>
      <c r="AE253" s="122" t="s">
        <v>433</v>
      </c>
      <c r="AF253" s="92"/>
      <c r="AG253" s="92"/>
      <c r="AH253" s="92" t="s">
        <v>2</v>
      </c>
      <c r="AI253" s="92" t="s">
        <v>1785</v>
      </c>
      <c r="AJ253" s="92" t="s">
        <v>1787</v>
      </c>
      <c r="AK253" s="92" t="s">
        <v>1779</v>
      </c>
      <c r="AL253" s="92">
        <v>0</v>
      </c>
      <c r="AM253" s="92">
        <v>0</v>
      </c>
    </row>
    <row r="254" spans="2:39">
      <c r="B254" s="122">
        <v>2149</v>
      </c>
      <c r="C254" s="132">
        <v>195621</v>
      </c>
      <c r="D254" s="122" t="s">
        <v>433</v>
      </c>
      <c r="E254" s="92" t="s">
        <v>1626</v>
      </c>
      <c r="F254" t="s">
        <v>461</v>
      </c>
      <c r="I254" s="122">
        <v>150</v>
      </c>
      <c r="J254" s="92"/>
      <c r="K254" s="122">
        <v>0</v>
      </c>
      <c r="L254" s="92" t="s">
        <v>1199</v>
      </c>
      <c r="M254" s="92"/>
      <c r="N254" s="92" t="s">
        <v>646</v>
      </c>
      <c r="O254" s="92" t="s">
        <v>1789</v>
      </c>
      <c r="P254" s="92"/>
      <c r="Q254" s="92"/>
      <c r="R254" s="92"/>
      <c r="S254" s="133">
        <v>43202</v>
      </c>
      <c r="T254" s="133">
        <v>43202</v>
      </c>
      <c r="U254" s="92" t="s">
        <v>1292</v>
      </c>
      <c r="V254" s="122">
        <v>700</v>
      </c>
      <c r="W254" s="122">
        <v>14050</v>
      </c>
      <c r="X254" s="113">
        <v>6997.14</v>
      </c>
      <c r="Y254" s="122">
        <v>14056</v>
      </c>
      <c r="Z254" s="113">
        <v>6080.84</v>
      </c>
      <c r="AA254" s="113">
        <v>916.30000000000018</v>
      </c>
      <c r="AB254" s="113">
        <v>333.2</v>
      </c>
      <c r="AC254" s="122">
        <v>54260</v>
      </c>
      <c r="AD254" s="113">
        <v>83.3</v>
      </c>
      <c r="AE254" s="122" t="s">
        <v>433</v>
      </c>
      <c r="AF254" s="92"/>
      <c r="AG254" s="92"/>
      <c r="AH254" s="92" t="s">
        <v>2</v>
      </c>
      <c r="AI254" s="92" t="s">
        <v>1785</v>
      </c>
      <c r="AJ254" s="92" t="s">
        <v>1787</v>
      </c>
      <c r="AK254" s="92" t="s">
        <v>1779</v>
      </c>
      <c r="AL254" s="92">
        <v>0</v>
      </c>
      <c r="AM254" s="92">
        <v>0</v>
      </c>
    </row>
    <row r="255" spans="2:39">
      <c r="B255" s="122">
        <v>2149</v>
      </c>
      <c r="C255" s="132">
        <v>194636</v>
      </c>
      <c r="D255" s="122" t="s">
        <v>433</v>
      </c>
      <c r="E255" s="92" t="s">
        <v>1626</v>
      </c>
      <c r="F255" t="s">
        <v>482</v>
      </c>
      <c r="I255" s="122">
        <v>1</v>
      </c>
      <c r="J255" s="92"/>
      <c r="K255" s="122">
        <v>0</v>
      </c>
      <c r="L255" s="92" t="s">
        <v>1291</v>
      </c>
      <c r="M255" s="92"/>
      <c r="N255" s="92" t="s">
        <v>1800</v>
      </c>
      <c r="O255" s="92" t="s">
        <v>1800</v>
      </c>
      <c r="P255" s="92"/>
      <c r="Q255" s="92"/>
      <c r="R255" s="92"/>
      <c r="S255" s="133">
        <v>43101</v>
      </c>
      <c r="T255" s="133">
        <v>43101</v>
      </c>
      <c r="U255" s="92" t="s">
        <v>1290</v>
      </c>
      <c r="V255" s="122">
        <v>1000</v>
      </c>
      <c r="W255" s="122">
        <v>14090</v>
      </c>
      <c r="X255" s="113">
        <v>13031.65</v>
      </c>
      <c r="Y255" s="122">
        <v>14096</v>
      </c>
      <c r="Z255" s="113">
        <v>8253.42</v>
      </c>
      <c r="AA255" s="113">
        <v>4778.2299999999996</v>
      </c>
      <c r="AB255" s="113">
        <v>434.4</v>
      </c>
      <c r="AC255" s="122">
        <v>57260</v>
      </c>
      <c r="AD255" s="113">
        <v>108.6</v>
      </c>
      <c r="AE255" s="122" t="s">
        <v>433</v>
      </c>
      <c r="AF255" s="92"/>
      <c r="AG255" s="92"/>
      <c r="AH255" s="92" t="s">
        <v>2</v>
      </c>
      <c r="AI255" s="92" t="s">
        <v>1785</v>
      </c>
      <c r="AJ255" s="92" t="s">
        <v>1787</v>
      </c>
      <c r="AK255" s="92" t="s">
        <v>1779</v>
      </c>
      <c r="AL255" s="92">
        <v>0</v>
      </c>
      <c r="AM255" s="92">
        <v>0</v>
      </c>
    </row>
    <row r="256" spans="2:39">
      <c r="B256" s="122">
        <v>2149</v>
      </c>
      <c r="C256" s="132">
        <v>194635</v>
      </c>
      <c r="D256" s="122" t="s">
        <v>433</v>
      </c>
      <c r="E256" s="92" t="s">
        <v>1626</v>
      </c>
      <c r="F256" t="s">
        <v>483</v>
      </c>
      <c r="I256" s="122">
        <v>1</v>
      </c>
      <c r="J256" s="92"/>
      <c r="K256" s="122">
        <v>0</v>
      </c>
      <c r="L256" s="92" t="s">
        <v>1289</v>
      </c>
      <c r="M256" s="92"/>
      <c r="N256" s="92" t="s">
        <v>1800</v>
      </c>
      <c r="O256" s="92" t="s">
        <v>1800</v>
      </c>
      <c r="P256" s="92"/>
      <c r="Q256" s="92"/>
      <c r="R256" s="92"/>
      <c r="S256" s="133">
        <v>43190</v>
      </c>
      <c r="T256" s="133">
        <v>43190</v>
      </c>
      <c r="U256" s="92" t="s">
        <v>1288</v>
      </c>
      <c r="V256" s="122">
        <v>1000</v>
      </c>
      <c r="W256" s="122">
        <v>14090</v>
      </c>
      <c r="X256" s="113">
        <v>33614.33</v>
      </c>
      <c r="Y256" s="122">
        <v>14096</v>
      </c>
      <c r="Z256" s="113">
        <v>20448.71</v>
      </c>
      <c r="AA256" s="113">
        <v>13165.620000000003</v>
      </c>
      <c r="AB256" s="113">
        <v>1120.48</v>
      </c>
      <c r="AC256" s="122">
        <v>57260</v>
      </c>
      <c r="AD256" s="113">
        <v>280.12</v>
      </c>
      <c r="AE256" s="122" t="s">
        <v>433</v>
      </c>
      <c r="AF256" s="92"/>
      <c r="AG256" s="92"/>
      <c r="AH256" s="92" t="s">
        <v>2</v>
      </c>
      <c r="AI256" s="92" t="s">
        <v>1785</v>
      </c>
      <c r="AJ256" s="92" t="s">
        <v>1787</v>
      </c>
      <c r="AK256" s="92" t="s">
        <v>1779</v>
      </c>
      <c r="AL256" s="92">
        <v>0</v>
      </c>
      <c r="AM256" s="92">
        <v>0</v>
      </c>
    </row>
    <row r="257" spans="2:39">
      <c r="B257" s="122">
        <v>2149</v>
      </c>
      <c r="C257" s="132">
        <v>194615</v>
      </c>
      <c r="D257" s="122" t="s">
        <v>433</v>
      </c>
      <c r="E257" s="92" t="s">
        <v>1626</v>
      </c>
      <c r="F257" t="s">
        <v>467</v>
      </c>
      <c r="I257" s="122">
        <v>12</v>
      </c>
      <c r="J257" s="92"/>
      <c r="K257" s="122">
        <v>0</v>
      </c>
      <c r="L257" s="92" t="s">
        <v>1241</v>
      </c>
      <c r="M257" s="92"/>
      <c r="N257" s="92" t="s">
        <v>646</v>
      </c>
      <c r="O257" s="92" t="s">
        <v>1789</v>
      </c>
      <c r="P257" s="92"/>
      <c r="Q257" s="92" t="s">
        <v>1792</v>
      </c>
      <c r="R257" s="92" t="s">
        <v>1791</v>
      </c>
      <c r="S257" s="133">
        <v>43101</v>
      </c>
      <c r="T257" s="133">
        <v>43101</v>
      </c>
      <c r="U257" s="92" t="s">
        <v>1287</v>
      </c>
      <c r="V257" s="122">
        <v>1200</v>
      </c>
      <c r="W257" s="122">
        <v>14050</v>
      </c>
      <c r="X257" s="113">
        <v>6480</v>
      </c>
      <c r="Y257" s="122">
        <v>14056</v>
      </c>
      <c r="Z257" s="113">
        <v>3420</v>
      </c>
      <c r="AA257" s="113">
        <v>3060</v>
      </c>
      <c r="AB257" s="113">
        <v>180</v>
      </c>
      <c r="AC257" s="122">
        <v>54260</v>
      </c>
      <c r="AD257" s="113">
        <v>45</v>
      </c>
      <c r="AE257" s="122" t="s">
        <v>433</v>
      </c>
      <c r="AF257" s="92"/>
      <c r="AG257" s="92"/>
      <c r="AH257" s="92" t="s">
        <v>2</v>
      </c>
      <c r="AI257" s="92" t="s">
        <v>1785</v>
      </c>
      <c r="AJ257" s="92" t="s">
        <v>1787</v>
      </c>
      <c r="AK257" s="92" t="s">
        <v>1779</v>
      </c>
      <c r="AL257" s="92">
        <v>0</v>
      </c>
      <c r="AM257" s="92">
        <v>0</v>
      </c>
    </row>
    <row r="258" spans="2:39">
      <c r="B258" s="122">
        <v>2149</v>
      </c>
      <c r="C258" s="132">
        <v>194614</v>
      </c>
      <c r="D258" s="122" t="s">
        <v>433</v>
      </c>
      <c r="E258" s="92" t="s">
        <v>1626</v>
      </c>
      <c r="F258" t="s">
        <v>477</v>
      </c>
      <c r="I258" s="122">
        <v>2</v>
      </c>
      <c r="J258" s="92"/>
      <c r="K258" s="122">
        <v>0</v>
      </c>
      <c r="L258" s="92" t="s">
        <v>1241</v>
      </c>
      <c r="M258" s="92"/>
      <c r="N258" s="92" t="s">
        <v>646</v>
      </c>
      <c r="O258" s="92" t="s">
        <v>1789</v>
      </c>
      <c r="P258" s="92"/>
      <c r="Q258" s="92" t="s">
        <v>1793</v>
      </c>
      <c r="R258" s="92" t="s">
        <v>1794</v>
      </c>
      <c r="S258" s="133">
        <v>43101</v>
      </c>
      <c r="T258" s="133">
        <v>43101</v>
      </c>
      <c r="U258" s="92" t="s">
        <v>1286</v>
      </c>
      <c r="V258" s="122">
        <v>1200</v>
      </c>
      <c r="W258" s="122">
        <v>14050</v>
      </c>
      <c r="X258" s="113">
        <v>11980</v>
      </c>
      <c r="Y258" s="122">
        <v>14056</v>
      </c>
      <c r="Z258" s="113">
        <v>6322.74</v>
      </c>
      <c r="AA258" s="113">
        <v>5657.26</v>
      </c>
      <c r="AB258" s="113">
        <v>332.76</v>
      </c>
      <c r="AC258" s="122">
        <v>54260</v>
      </c>
      <c r="AD258" s="113">
        <v>83.19</v>
      </c>
      <c r="AE258" s="122" t="s">
        <v>433</v>
      </c>
      <c r="AF258" s="92"/>
      <c r="AG258" s="92"/>
      <c r="AH258" s="92" t="s">
        <v>2</v>
      </c>
      <c r="AI258" s="92" t="s">
        <v>1785</v>
      </c>
      <c r="AJ258" s="92" t="s">
        <v>1787</v>
      </c>
      <c r="AK258" s="92" t="s">
        <v>1779</v>
      </c>
      <c r="AL258" s="92">
        <v>0</v>
      </c>
      <c r="AM258" s="92">
        <v>0</v>
      </c>
    </row>
    <row r="259" spans="2:39">
      <c r="B259" s="122">
        <v>2149</v>
      </c>
      <c r="C259" s="132">
        <v>194613</v>
      </c>
      <c r="D259" s="122" t="s">
        <v>433</v>
      </c>
      <c r="E259" s="92" t="s">
        <v>1626</v>
      </c>
      <c r="F259" t="s">
        <v>478</v>
      </c>
      <c r="I259" s="122">
        <v>1</v>
      </c>
      <c r="J259" s="92"/>
      <c r="K259" s="122">
        <v>0</v>
      </c>
      <c r="L259" s="92" t="s">
        <v>1241</v>
      </c>
      <c r="M259" s="92"/>
      <c r="N259" s="92" t="s">
        <v>646</v>
      </c>
      <c r="O259" s="92" t="s">
        <v>1789</v>
      </c>
      <c r="P259" s="92"/>
      <c r="Q259" s="92" t="s">
        <v>1823</v>
      </c>
      <c r="R259" s="92" t="s">
        <v>1794</v>
      </c>
      <c r="S259" s="133">
        <v>43101</v>
      </c>
      <c r="T259" s="133">
        <v>43101</v>
      </c>
      <c r="U259" s="92" t="s">
        <v>1286</v>
      </c>
      <c r="V259" s="122">
        <v>1200</v>
      </c>
      <c r="W259" s="122">
        <v>14050</v>
      </c>
      <c r="X259" s="113">
        <v>4910</v>
      </c>
      <c r="Y259" s="122">
        <v>14056</v>
      </c>
      <c r="Z259" s="113">
        <v>2591.42</v>
      </c>
      <c r="AA259" s="113">
        <v>2318.58</v>
      </c>
      <c r="AB259" s="113">
        <v>136.4</v>
      </c>
      <c r="AC259" s="122">
        <v>54260</v>
      </c>
      <c r="AD259" s="113">
        <v>34.1</v>
      </c>
      <c r="AE259" s="122" t="s">
        <v>433</v>
      </c>
      <c r="AF259" s="92"/>
      <c r="AG259" s="92"/>
      <c r="AH259" s="92" t="s">
        <v>2</v>
      </c>
      <c r="AI259" s="92" t="s">
        <v>1785</v>
      </c>
      <c r="AJ259" s="92" t="s">
        <v>1787</v>
      </c>
      <c r="AK259" s="92" t="s">
        <v>1779</v>
      </c>
      <c r="AL259" s="92">
        <v>0</v>
      </c>
      <c r="AM259" s="92">
        <v>0</v>
      </c>
    </row>
    <row r="260" spans="2:39">
      <c r="B260" s="122">
        <v>2149</v>
      </c>
      <c r="C260" s="132">
        <v>188168</v>
      </c>
      <c r="D260" s="122">
        <v>183283</v>
      </c>
      <c r="E260" s="92" t="s">
        <v>1626</v>
      </c>
      <c r="F260" t="s">
        <v>1285</v>
      </c>
      <c r="I260" s="122">
        <v>1</v>
      </c>
      <c r="J260" s="92"/>
      <c r="K260" s="122">
        <v>0</v>
      </c>
      <c r="L260" s="92" t="s">
        <v>1284</v>
      </c>
      <c r="M260" s="92"/>
      <c r="N260" s="92" t="s">
        <v>1788</v>
      </c>
      <c r="O260" s="92" t="s">
        <v>1789</v>
      </c>
      <c r="P260" s="92" t="s">
        <v>683</v>
      </c>
      <c r="Q260" s="92"/>
      <c r="R260" s="92"/>
      <c r="S260" s="133">
        <v>42993</v>
      </c>
      <c r="T260" s="133">
        <v>42993</v>
      </c>
      <c r="U260" s="92" t="s">
        <v>1259</v>
      </c>
      <c r="V260" s="122">
        <v>1000</v>
      </c>
      <c r="W260" s="122">
        <v>14040</v>
      </c>
      <c r="X260" s="113">
        <v>1490.08</v>
      </c>
      <c r="Y260" s="122">
        <v>14046</v>
      </c>
      <c r="Z260" s="113">
        <v>993.41</v>
      </c>
      <c r="AA260" s="113">
        <v>496.66999999999996</v>
      </c>
      <c r="AB260" s="113">
        <v>49.68</v>
      </c>
      <c r="AC260" s="122">
        <v>51260</v>
      </c>
      <c r="AD260" s="113">
        <v>12.42</v>
      </c>
      <c r="AE260" s="122" t="s">
        <v>433</v>
      </c>
      <c r="AF260" s="92"/>
      <c r="AG260" s="92"/>
      <c r="AH260" s="92" t="s">
        <v>2</v>
      </c>
      <c r="AI260" s="92" t="s">
        <v>1785</v>
      </c>
      <c r="AJ260" s="92" t="s">
        <v>1787</v>
      </c>
      <c r="AK260" s="92" t="s">
        <v>1779</v>
      </c>
      <c r="AL260" s="92">
        <v>0</v>
      </c>
      <c r="AM260" s="92">
        <v>0</v>
      </c>
    </row>
    <row r="261" spans="2:39">
      <c r="B261" s="122">
        <v>2149</v>
      </c>
      <c r="C261" s="132">
        <v>185859</v>
      </c>
      <c r="D261" s="122">
        <v>183283</v>
      </c>
      <c r="E261" s="92" t="s">
        <v>1626</v>
      </c>
      <c r="F261" t="s">
        <v>1283</v>
      </c>
      <c r="I261" s="122">
        <v>1</v>
      </c>
      <c r="J261" s="92"/>
      <c r="K261" s="122">
        <v>0</v>
      </c>
      <c r="L261" s="92" t="s">
        <v>1282</v>
      </c>
      <c r="M261" s="92"/>
      <c r="N261" s="92" t="s">
        <v>1788</v>
      </c>
      <c r="O261" s="92" t="s">
        <v>1789</v>
      </c>
      <c r="P261" s="92" t="s">
        <v>683</v>
      </c>
      <c r="Q261" s="92"/>
      <c r="R261" s="92"/>
      <c r="S261" s="133">
        <v>42976</v>
      </c>
      <c r="T261" s="133">
        <v>42976</v>
      </c>
      <c r="U261" s="92" t="s">
        <v>1259</v>
      </c>
      <c r="V261" s="122">
        <v>500</v>
      </c>
      <c r="W261" s="122">
        <v>14040</v>
      </c>
      <c r="X261" s="113">
        <v>8033.71</v>
      </c>
      <c r="Y261" s="122">
        <v>14046</v>
      </c>
      <c r="Z261" s="113">
        <v>8033.71</v>
      </c>
      <c r="AA261" s="113">
        <v>0</v>
      </c>
      <c r="AB261" s="113">
        <v>0</v>
      </c>
      <c r="AC261" s="122">
        <v>51260</v>
      </c>
      <c r="AD261" s="113">
        <v>0</v>
      </c>
      <c r="AE261" s="122" t="s">
        <v>433</v>
      </c>
      <c r="AF261" s="92"/>
      <c r="AG261" s="92"/>
      <c r="AH261" s="92" t="s">
        <v>2</v>
      </c>
      <c r="AI261" s="92" t="s">
        <v>1785</v>
      </c>
      <c r="AJ261" s="92" t="s">
        <v>1787</v>
      </c>
      <c r="AK261" s="92" t="s">
        <v>1779</v>
      </c>
      <c r="AL261" s="92">
        <v>0</v>
      </c>
      <c r="AM261" s="92">
        <v>0</v>
      </c>
    </row>
    <row r="262" spans="2:39">
      <c r="B262" s="122">
        <v>2149</v>
      </c>
      <c r="C262" s="132">
        <v>185585</v>
      </c>
      <c r="D262" s="122">
        <v>185174</v>
      </c>
      <c r="E262" s="92" t="s">
        <v>1626</v>
      </c>
      <c r="F262" t="s">
        <v>361</v>
      </c>
      <c r="I262" s="122">
        <v>1</v>
      </c>
      <c r="J262" s="92"/>
      <c r="K262" s="122">
        <v>0</v>
      </c>
      <c r="L262" s="92" t="s">
        <v>1279</v>
      </c>
      <c r="M262" s="92"/>
      <c r="N262" s="92" t="s">
        <v>1788</v>
      </c>
      <c r="O262" s="92" t="s">
        <v>1789</v>
      </c>
      <c r="P262" s="92" t="s">
        <v>683</v>
      </c>
      <c r="Q262" s="92"/>
      <c r="R262" s="92"/>
      <c r="S262" s="133">
        <v>42956</v>
      </c>
      <c r="T262" s="133">
        <v>42956</v>
      </c>
      <c r="U262" s="92" t="s">
        <v>1277</v>
      </c>
      <c r="V262" s="122">
        <v>300</v>
      </c>
      <c r="W262" s="122">
        <v>14040</v>
      </c>
      <c r="X262" s="113">
        <v>500</v>
      </c>
      <c r="Y262" s="122">
        <v>14046</v>
      </c>
      <c r="Z262" s="113">
        <v>500</v>
      </c>
      <c r="AA262" s="113">
        <v>0</v>
      </c>
      <c r="AB262" s="113">
        <v>0</v>
      </c>
      <c r="AC262" s="122">
        <v>51260</v>
      </c>
      <c r="AD262" s="113">
        <v>0</v>
      </c>
      <c r="AE262" s="122" t="s">
        <v>433</v>
      </c>
      <c r="AF262" s="92"/>
      <c r="AG262" s="92"/>
      <c r="AH262" s="92" t="s">
        <v>2</v>
      </c>
      <c r="AI262" s="92" t="s">
        <v>1785</v>
      </c>
      <c r="AJ262" s="92" t="s">
        <v>1787</v>
      </c>
      <c r="AK262" s="92" t="s">
        <v>1779</v>
      </c>
      <c r="AL262" s="92">
        <v>0</v>
      </c>
      <c r="AM262" s="92">
        <v>0</v>
      </c>
    </row>
    <row r="263" spans="2:39">
      <c r="B263" s="122">
        <v>2149</v>
      </c>
      <c r="C263" s="132">
        <v>185431</v>
      </c>
      <c r="D263" s="122">
        <v>80334</v>
      </c>
      <c r="E263" s="92" t="s">
        <v>1626</v>
      </c>
      <c r="F263" t="s">
        <v>415</v>
      </c>
      <c r="I263" s="122">
        <v>1</v>
      </c>
      <c r="J263" s="92"/>
      <c r="K263" s="122">
        <v>0</v>
      </c>
      <c r="L263" s="92" t="s">
        <v>1281</v>
      </c>
      <c r="M263" s="92"/>
      <c r="N263" s="92" t="s">
        <v>1788</v>
      </c>
      <c r="O263" s="92" t="s">
        <v>1789</v>
      </c>
      <c r="P263" s="92" t="s">
        <v>683</v>
      </c>
      <c r="Q263" s="92"/>
      <c r="R263" s="92"/>
      <c r="S263" s="133">
        <v>42855</v>
      </c>
      <c r="T263" s="133">
        <v>42855</v>
      </c>
      <c r="U263" s="92" t="s">
        <v>1247</v>
      </c>
      <c r="V263" s="122">
        <v>300</v>
      </c>
      <c r="W263" s="122">
        <v>14040</v>
      </c>
      <c r="X263" s="113">
        <v>2453.85</v>
      </c>
      <c r="Y263" s="122">
        <v>14046</v>
      </c>
      <c r="Z263" s="113">
        <v>2453.85</v>
      </c>
      <c r="AA263" s="113">
        <v>0</v>
      </c>
      <c r="AB263" s="113">
        <v>0</v>
      </c>
      <c r="AC263" s="122">
        <v>51260</v>
      </c>
      <c r="AD263" s="113">
        <v>0</v>
      </c>
      <c r="AE263" s="122" t="s">
        <v>433</v>
      </c>
      <c r="AF263" s="92"/>
      <c r="AG263" s="92"/>
      <c r="AH263" s="92" t="s">
        <v>2</v>
      </c>
      <c r="AI263" s="92" t="s">
        <v>1785</v>
      </c>
      <c r="AJ263" s="92" t="s">
        <v>1787</v>
      </c>
      <c r="AK263" s="92" t="s">
        <v>1779</v>
      </c>
      <c r="AL263" s="92">
        <v>0</v>
      </c>
      <c r="AM263" s="92">
        <v>0</v>
      </c>
    </row>
    <row r="264" spans="2:39">
      <c r="B264" s="122">
        <v>2149</v>
      </c>
      <c r="C264" s="132">
        <v>185174</v>
      </c>
      <c r="D264" s="122" t="s">
        <v>433</v>
      </c>
      <c r="E264" s="92" t="s">
        <v>1626</v>
      </c>
      <c r="F264" t="s">
        <v>359</v>
      </c>
      <c r="I264" s="122">
        <v>1</v>
      </c>
      <c r="J264" s="92" t="s">
        <v>1280</v>
      </c>
      <c r="K264" s="122">
        <v>2017</v>
      </c>
      <c r="L264" s="92" t="s">
        <v>1279</v>
      </c>
      <c r="M264" s="92" t="s">
        <v>1278</v>
      </c>
      <c r="N264" s="92" t="s">
        <v>1788</v>
      </c>
      <c r="O264" s="92" t="s">
        <v>1789</v>
      </c>
      <c r="P264" s="92" t="s">
        <v>1813</v>
      </c>
      <c r="Q264" s="92"/>
      <c r="R264" s="92"/>
      <c r="S264" s="133">
        <v>42956</v>
      </c>
      <c r="T264" s="133">
        <v>42956</v>
      </c>
      <c r="U264" s="92" t="s">
        <v>1277</v>
      </c>
      <c r="V264" s="122">
        <v>500</v>
      </c>
      <c r="W264" s="122">
        <v>14040</v>
      </c>
      <c r="X264" s="113">
        <v>38000</v>
      </c>
      <c r="Y264" s="122">
        <v>14046</v>
      </c>
      <c r="Z264" s="113">
        <v>38000</v>
      </c>
      <c r="AA264" s="113">
        <v>0</v>
      </c>
      <c r="AB264" s="113">
        <v>0</v>
      </c>
      <c r="AC264" s="122">
        <v>51260</v>
      </c>
      <c r="AD264" s="113">
        <v>0</v>
      </c>
      <c r="AE264" s="122" t="s">
        <v>433</v>
      </c>
      <c r="AF264" s="92"/>
      <c r="AG264" s="92" t="s">
        <v>394</v>
      </c>
      <c r="AH264" s="92" t="s">
        <v>2</v>
      </c>
      <c r="AI264" s="92" t="s">
        <v>1785</v>
      </c>
      <c r="AJ264" s="92" t="s">
        <v>1787</v>
      </c>
      <c r="AK264" s="92" t="s">
        <v>1779</v>
      </c>
      <c r="AL264" s="92">
        <v>0</v>
      </c>
      <c r="AM264" s="92">
        <v>0</v>
      </c>
    </row>
    <row r="265" spans="2:39">
      <c r="B265" s="122">
        <v>2149</v>
      </c>
      <c r="C265" s="132">
        <v>184363</v>
      </c>
      <c r="D265" s="122" t="s">
        <v>433</v>
      </c>
      <c r="E265" s="92" t="s">
        <v>1626</v>
      </c>
      <c r="F265" t="s">
        <v>1276</v>
      </c>
      <c r="I265" s="122">
        <v>1</v>
      </c>
      <c r="J265" s="92" t="s">
        <v>591</v>
      </c>
      <c r="K265" s="122">
        <v>2017</v>
      </c>
      <c r="L265" s="92" t="s">
        <v>1146</v>
      </c>
      <c r="M265" s="92" t="s">
        <v>854</v>
      </c>
      <c r="N265" s="92" t="s">
        <v>1788</v>
      </c>
      <c r="O265" s="92" t="s">
        <v>1789</v>
      </c>
      <c r="P265" s="92" t="s">
        <v>1814</v>
      </c>
      <c r="Q265" s="92"/>
      <c r="R265" s="92"/>
      <c r="S265" s="133">
        <v>42926</v>
      </c>
      <c r="T265" s="133">
        <v>42926</v>
      </c>
      <c r="U265" s="92" t="s">
        <v>1275</v>
      </c>
      <c r="V265" s="122">
        <v>1000</v>
      </c>
      <c r="W265" s="122">
        <v>14040</v>
      </c>
      <c r="X265" s="113">
        <v>338304.94</v>
      </c>
      <c r="Y265" s="122">
        <v>14046</v>
      </c>
      <c r="Z265" s="113">
        <v>231175.03</v>
      </c>
      <c r="AA265" s="113">
        <v>107129.91</v>
      </c>
      <c r="AB265" s="113">
        <v>11276.84</v>
      </c>
      <c r="AC265" s="122">
        <v>51260</v>
      </c>
      <c r="AD265" s="113">
        <v>2819.21</v>
      </c>
      <c r="AE265" s="122" t="s">
        <v>433</v>
      </c>
      <c r="AF265" s="92"/>
      <c r="AG265" s="92">
        <v>9</v>
      </c>
      <c r="AH265" s="92" t="s">
        <v>2</v>
      </c>
      <c r="AI265" s="92" t="s">
        <v>1785</v>
      </c>
      <c r="AJ265" s="92" t="s">
        <v>1787</v>
      </c>
      <c r="AK265" s="92" t="s">
        <v>1779</v>
      </c>
      <c r="AL265" s="92">
        <v>0</v>
      </c>
      <c r="AM265" s="92">
        <v>0</v>
      </c>
    </row>
    <row r="266" spans="2:39">
      <c r="B266" s="122">
        <v>2149</v>
      </c>
      <c r="C266" s="132">
        <v>183698</v>
      </c>
      <c r="D266" s="122" t="s">
        <v>433</v>
      </c>
      <c r="E266" s="92" t="s">
        <v>1626</v>
      </c>
      <c r="F266" t="s">
        <v>362</v>
      </c>
      <c r="I266" s="122">
        <v>1120</v>
      </c>
      <c r="J266" s="92"/>
      <c r="K266" s="122">
        <v>0</v>
      </c>
      <c r="L266" s="92" t="s">
        <v>1264</v>
      </c>
      <c r="M266" s="92"/>
      <c r="N266" s="92" t="s">
        <v>646</v>
      </c>
      <c r="O266" s="92" t="s">
        <v>1789</v>
      </c>
      <c r="P266" s="92"/>
      <c r="Q266" s="92"/>
      <c r="R266" s="92"/>
      <c r="S266" s="133">
        <v>42916</v>
      </c>
      <c r="T266" s="133">
        <v>42916</v>
      </c>
      <c r="U266" s="92" t="s">
        <v>1274</v>
      </c>
      <c r="V266" s="122">
        <v>500</v>
      </c>
      <c r="W266" s="122">
        <v>14050</v>
      </c>
      <c r="X266" s="113">
        <v>30380</v>
      </c>
      <c r="Y266" s="122">
        <v>14056</v>
      </c>
      <c r="Z266" s="113">
        <v>30380</v>
      </c>
      <c r="AA266" s="113">
        <v>0</v>
      </c>
      <c r="AB266" s="113">
        <v>0</v>
      </c>
      <c r="AC266" s="122">
        <v>54260</v>
      </c>
      <c r="AD266" s="113">
        <v>0</v>
      </c>
      <c r="AE266" s="122" t="s">
        <v>433</v>
      </c>
      <c r="AF266" s="92"/>
      <c r="AG266" s="92"/>
      <c r="AH266" s="92" t="s">
        <v>2</v>
      </c>
      <c r="AI266" s="92" t="s">
        <v>1785</v>
      </c>
      <c r="AJ266" s="92" t="s">
        <v>1787</v>
      </c>
      <c r="AK266" s="92" t="s">
        <v>1779</v>
      </c>
      <c r="AL266" s="92">
        <v>0</v>
      </c>
      <c r="AM266" s="92">
        <v>0</v>
      </c>
    </row>
    <row r="267" spans="2:39">
      <c r="B267" s="122">
        <v>2149</v>
      </c>
      <c r="C267" s="132">
        <v>183697</v>
      </c>
      <c r="D267" s="122" t="s">
        <v>433</v>
      </c>
      <c r="E267" s="92" t="s">
        <v>1626</v>
      </c>
      <c r="F267" t="s">
        <v>389</v>
      </c>
      <c r="I267" s="122">
        <v>435</v>
      </c>
      <c r="J267" s="92"/>
      <c r="K267" s="122">
        <v>0</v>
      </c>
      <c r="L267" s="92" t="s">
        <v>1264</v>
      </c>
      <c r="M267" s="92"/>
      <c r="N267" s="92" t="s">
        <v>646</v>
      </c>
      <c r="O267" s="92" t="s">
        <v>1789</v>
      </c>
      <c r="P267" s="92"/>
      <c r="Q267" s="92"/>
      <c r="R267" s="92"/>
      <c r="S267" s="133">
        <v>42916</v>
      </c>
      <c r="T267" s="133">
        <v>42916</v>
      </c>
      <c r="U267" s="92" t="s">
        <v>1273</v>
      </c>
      <c r="V267" s="122">
        <v>500</v>
      </c>
      <c r="W267" s="122">
        <v>14050</v>
      </c>
      <c r="X267" s="113">
        <v>37975</v>
      </c>
      <c r="Y267" s="122">
        <v>14056</v>
      </c>
      <c r="Z267" s="113">
        <v>37975</v>
      </c>
      <c r="AA267" s="113">
        <v>0</v>
      </c>
      <c r="AB267" s="113">
        <v>0</v>
      </c>
      <c r="AC267" s="122">
        <v>54260</v>
      </c>
      <c r="AD267" s="113">
        <v>0</v>
      </c>
      <c r="AE267" s="122" t="s">
        <v>433</v>
      </c>
      <c r="AF267" s="92"/>
      <c r="AG267" s="92"/>
      <c r="AH267" s="92" t="s">
        <v>2</v>
      </c>
      <c r="AI267" s="92" t="s">
        <v>1785</v>
      </c>
      <c r="AJ267" s="92" t="s">
        <v>1787</v>
      </c>
      <c r="AK267" s="92" t="s">
        <v>1779</v>
      </c>
      <c r="AL267" s="92">
        <v>0</v>
      </c>
      <c r="AM267" s="92">
        <v>0</v>
      </c>
    </row>
    <row r="268" spans="2:39">
      <c r="B268" s="122">
        <v>2149</v>
      </c>
      <c r="C268" s="132">
        <v>183696</v>
      </c>
      <c r="D268" s="122" t="s">
        <v>433</v>
      </c>
      <c r="E268" s="92" t="s">
        <v>1626</v>
      </c>
      <c r="F268" t="s">
        <v>363</v>
      </c>
      <c r="I268" s="122">
        <v>1120</v>
      </c>
      <c r="J268" s="92"/>
      <c r="K268" s="122">
        <v>0</v>
      </c>
      <c r="L268" s="92" t="s">
        <v>1264</v>
      </c>
      <c r="M268" s="92"/>
      <c r="N268" s="92" t="s">
        <v>646</v>
      </c>
      <c r="O268" s="92" t="s">
        <v>1789</v>
      </c>
      <c r="P268" s="92"/>
      <c r="Q268" s="92"/>
      <c r="R268" s="92"/>
      <c r="S268" s="133">
        <v>42916</v>
      </c>
      <c r="T268" s="133">
        <v>42916</v>
      </c>
      <c r="U268" s="92" t="s">
        <v>1272</v>
      </c>
      <c r="V268" s="122">
        <v>500</v>
      </c>
      <c r="W268" s="122">
        <v>14050</v>
      </c>
      <c r="X268" s="113">
        <v>30380</v>
      </c>
      <c r="Y268" s="122">
        <v>14056</v>
      </c>
      <c r="Z268" s="113">
        <v>30380</v>
      </c>
      <c r="AA268" s="113">
        <v>0</v>
      </c>
      <c r="AB268" s="113">
        <v>0</v>
      </c>
      <c r="AC268" s="122">
        <v>54260</v>
      </c>
      <c r="AD268" s="113">
        <v>0</v>
      </c>
      <c r="AE268" s="122" t="s">
        <v>433</v>
      </c>
      <c r="AF268" s="92"/>
      <c r="AG268" s="92"/>
      <c r="AH268" s="92" t="s">
        <v>2</v>
      </c>
      <c r="AI268" s="92" t="s">
        <v>1785</v>
      </c>
      <c r="AJ268" s="92" t="s">
        <v>1787</v>
      </c>
      <c r="AK268" s="92" t="s">
        <v>1779</v>
      </c>
      <c r="AL268" s="92">
        <v>0</v>
      </c>
      <c r="AM268" s="92">
        <v>0</v>
      </c>
    </row>
    <row r="269" spans="2:39">
      <c r="B269" s="122">
        <v>2149</v>
      </c>
      <c r="C269" s="132">
        <v>183695</v>
      </c>
      <c r="D269" s="122" t="s">
        <v>433</v>
      </c>
      <c r="E269" s="92" t="s">
        <v>1626</v>
      </c>
      <c r="F269" t="s">
        <v>1271</v>
      </c>
      <c r="I269" s="122">
        <v>1700</v>
      </c>
      <c r="J269" s="92"/>
      <c r="K269" s="122">
        <v>0</v>
      </c>
      <c r="L269" s="92" t="s">
        <v>1264</v>
      </c>
      <c r="M269" s="92"/>
      <c r="N269" s="92" t="s">
        <v>646</v>
      </c>
      <c r="O269" s="92" t="s">
        <v>1789</v>
      </c>
      <c r="P269" s="92"/>
      <c r="Q269" s="92"/>
      <c r="R269" s="92"/>
      <c r="S269" s="133">
        <v>42916</v>
      </c>
      <c r="T269" s="133">
        <v>42916</v>
      </c>
      <c r="U269" s="92" t="s">
        <v>1270</v>
      </c>
      <c r="V269" s="122">
        <v>500</v>
      </c>
      <c r="W269" s="122">
        <v>14050</v>
      </c>
      <c r="X269" s="113">
        <v>46112.5</v>
      </c>
      <c r="Y269" s="122">
        <v>14056</v>
      </c>
      <c r="Z269" s="113">
        <v>46112.5</v>
      </c>
      <c r="AA269" s="113">
        <v>0</v>
      </c>
      <c r="AB269" s="113">
        <v>0</v>
      </c>
      <c r="AC269" s="122">
        <v>54260</v>
      </c>
      <c r="AD269" s="113">
        <v>0</v>
      </c>
      <c r="AE269" s="122" t="s">
        <v>433</v>
      </c>
      <c r="AF269" s="92"/>
      <c r="AG269" s="92"/>
      <c r="AH269" s="92" t="s">
        <v>2</v>
      </c>
      <c r="AI269" s="92" t="s">
        <v>1785</v>
      </c>
      <c r="AJ269" s="92" t="s">
        <v>1787</v>
      </c>
      <c r="AK269" s="92" t="s">
        <v>1779</v>
      </c>
      <c r="AL269" s="92">
        <v>0</v>
      </c>
      <c r="AM269" s="92">
        <v>0</v>
      </c>
    </row>
    <row r="270" spans="2:39">
      <c r="B270" s="122">
        <v>2149</v>
      </c>
      <c r="C270" s="132">
        <v>183694</v>
      </c>
      <c r="D270" s="122" t="s">
        <v>433</v>
      </c>
      <c r="E270" s="92" t="s">
        <v>1626</v>
      </c>
      <c r="F270" t="s">
        <v>367</v>
      </c>
      <c r="I270" s="122">
        <v>215</v>
      </c>
      <c r="J270" s="92"/>
      <c r="K270" s="122">
        <v>0</v>
      </c>
      <c r="L270" s="92" t="s">
        <v>1264</v>
      </c>
      <c r="M270" s="92"/>
      <c r="N270" s="92" t="s">
        <v>646</v>
      </c>
      <c r="O270" s="92" t="s">
        <v>1789</v>
      </c>
      <c r="P270" s="92"/>
      <c r="Q270" s="92"/>
      <c r="R270" s="92"/>
      <c r="S270" s="133">
        <v>42916</v>
      </c>
      <c r="T270" s="133">
        <v>42916</v>
      </c>
      <c r="U270" s="92" t="s">
        <v>1269</v>
      </c>
      <c r="V270" s="122">
        <v>500</v>
      </c>
      <c r="W270" s="122">
        <v>14050</v>
      </c>
      <c r="X270" s="113">
        <v>6415.06</v>
      </c>
      <c r="Y270" s="122">
        <v>14056</v>
      </c>
      <c r="Z270" s="113">
        <v>6415.06</v>
      </c>
      <c r="AA270" s="113">
        <v>0</v>
      </c>
      <c r="AB270" s="113">
        <v>0</v>
      </c>
      <c r="AC270" s="122">
        <v>54260</v>
      </c>
      <c r="AD270" s="113">
        <v>0</v>
      </c>
      <c r="AE270" s="122" t="s">
        <v>433</v>
      </c>
      <c r="AF270" s="92"/>
      <c r="AG270" s="92"/>
      <c r="AH270" s="92" t="s">
        <v>2</v>
      </c>
      <c r="AI270" s="92" t="s">
        <v>1785</v>
      </c>
      <c r="AJ270" s="92" t="s">
        <v>1787</v>
      </c>
      <c r="AK270" s="92" t="s">
        <v>1779</v>
      </c>
      <c r="AL270" s="92">
        <v>0</v>
      </c>
      <c r="AM270" s="92">
        <v>0</v>
      </c>
    </row>
    <row r="271" spans="2:39">
      <c r="B271" s="122">
        <v>2149</v>
      </c>
      <c r="C271" s="132">
        <v>183693</v>
      </c>
      <c r="D271" s="122" t="s">
        <v>433</v>
      </c>
      <c r="E271" s="92" t="s">
        <v>1626</v>
      </c>
      <c r="F271" t="s">
        <v>368</v>
      </c>
      <c r="I271" s="122">
        <v>800</v>
      </c>
      <c r="J271" s="92"/>
      <c r="K271" s="122">
        <v>0</v>
      </c>
      <c r="L271" s="92" t="s">
        <v>1264</v>
      </c>
      <c r="M271" s="92"/>
      <c r="N271" s="92" t="s">
        <v>646</v>
      </c>
      <c r="O271" s="92" t="s">
        <v>1789</v>
      </c>
      <c r="P271" s="92"/>
      <c r="Q271" s="92"/>
      <c r="R271" s="92"/>
      <c r="S271" s="133">
        <v>42916</v>
      </c>
      <c r="T271" s="133">
        <v>42916</v>
      </c>
      <c r="U271" s="92" t="s">
        <v>1268</v>
      </c>
      <c r="V271" s="122">
        <v>500</v>
      </c>
      <c r="W271" s="122">
        <v>14050</v>
      </c>
      <c r="X271" s="113">
        <v>21700</v>
      </c>
      <c r="Y271" s="122">
        <v>14056</v>
      </c>
      <c r="Z271" s="113">
        <v>21700</v>
      </c>
      <c r="AA271" s="113">
        <v>0</v>
      </c>
      <c r="AB271" s="113">
        <v>0</v>
      </c>
      <c r="AC271" s="122">
        <v>54260</v>
      </c>
      <c r="AD271" s="113">
        <v>0</v>
      </c>
      <c r="AE271" s="122" t="s">
        <v>433</v>
      </c>
      <c r="AF271" s="92"/>
      <c r="AG271" s="92"/>
      <c r="AH271" s="92" t="s">
        <v>2</v>
      </c>
      <c r="AI271" s="92" t="s">
        <v>1785</v>
      </c>
      <c r="AJ271" s="92" t="s">
        <v>1787</v>
      </c>
      <c r="AK271" s="92" t="s">
        <v>1779</v>
      </c>
      <c r="AL271" s="92">
        <v>0</v>
      </c>
      <c r="AM271" s="92">
        <v>0</v>
      </c>
    </row>
    <row r="272" spans="2:39">
      <c r="B272" s="122">
        <v>2149</v>
      </c>
      <c r="C272" s="132">
        <v>183692</v>
      </c>
      <c r="D272" s="122" t="s">
        <v>433</v>
      </c>
      <c r="E272" s="92" t="s">
        <v>1626</v>
      </c>
      <c r="F272" t="s">
        <v>369</v>
      </c>
      <c r="I272" s="122">
        <v>650</v>
      </c>
      <c r="J272" s="92"/>
      <c r="K272" s="122">
        <v>0</v>
      </c>
      <c r="L272" s="92" t="s">
        <v>1264</v>
      </c>
      <c r="M272" s="92"/>
      <c r="N272" s="92" t="s">
        <v>646</v>
      </c>
      <c r="O272" s="92" t="s">
        <v>1789</v>
      </c>
      <c r="P272" s="92"/>
      <c r="Q272" s="92"/>
      <c r="R272" s="92"/>
      <c r="S272" s="133">
        <v>42916</v>
      </c>
      <c r="T272" s="133">
        <v>42916</v>
      </c>
      <c r="U272" s="92" t="s">
        <v>1267</v>
      </c>
      <c r="V272" s="122">
        <v>500</v>
      </c>
      <c r="W272" s="122">
        <v>14050</v>
      </c>
      <c r="X272" s="113">
        <v>17631.25</v>
      </c>
      <c r="Y272" s="122">
        <v>14056</v>
      </c>
      <c r="Z272" s="113">
        <v>17631.25</v>
      </c>
      <c r="AA272" s="113">
        <v>0</v>
      </c>
      <c r="AB272" s="113">
        <v>0</v>
      </c>
      <c r="AC272" s="122">
        <v>54260</v>
      </c>
      <c r="AD272" s="113">
        <v>0</v>
      </c>
      <c r="AE272" s="122" t="s">
        <v>433</v>
      </c>
      <c r="AF272" s="92"/>
      <c r="AG272" s="92"/>
      <c r="AH272" s="92" t="s">
        <v>2</v>
      </c>
      <c r="AI272" s="92" t="s">
        <v>1785</v>
      </c>
      <c r="AJ272" s="92" t="s">
        <v>1787</v>
      </c>
      <c r="AK272" s="92" t="s">
        <v>1779</v>
      </c>
      <c r="AL272" s="92">
        <v>0</v>
      </c>
      <c r="AM272" s="92">
        <v>0</v>
      </c>
    </row>
    <row r="273" spans="2:39">
      <c r="B273" s="122">
        <v>2149</v>
      </c>
      <c r="C273" s="132">
        <v>183691</v>
      </c>
      <c r="D273" s="122" t="s">
        <v>433</v>
      </c>
      <c r="E273" s="92" t="s">
        <v>1626</v>
      </c>
      <c r="F273" t="s">
        <v>371</v>
      </c>
      <c r="I273" s="122">
        <v>550</v>
      </c>
      <c r="J273" s="92"/>
      <c r="K273" s="122">
        <v>0</v>
      </c>
      <c r="L273" s="92" t="s">
        <v>1264</v>
      </c>
      <c r="M273" s="92"/>
      <c r="N273" s="92" t="s">
        <v>646</v>
      </c>
      <c r="O273" s="92" t="s">
        <v>1789</v>
      </c>
      <c r="P273" s="92"/>
      <c r="Q273" s="92"/>
      <c r="R273" s="92"/>
      <c r="S273" s="133">
        <v>42916</v>
      </c>
      <c r="T273" s="133">
        <v>42916</v>
      </c>
      <c r="U273" s="92" t="s">
        <v>1266</v>
      </c>
      <c r="V273" s="122">
        <v>500</v>
      </c>
      <c r="W273" s="122">
        <v>14050</v>
      </c>
      <c r="X273" s="113">
        <v>16410.63</v>
      </c>
      <c r="Y273" s="122">
        <v>14056</v>
      </c>
      <c r="Z273" s="113">
        <v>16410.63</v>
      </c>
      <c r="AA273" s="113">
        <v>0</v>
      </c>
      <c r="AB273" s="113">
        <v>0</v>
      </c>
      <c r="AC273" s="122">
        <v>54260</v>
      </c>
      <c r="AD273" s="113">
        <v>0</v>
      </c>
      <c r="AE273" s="122" t="s">
        <v>433</v>
      </c>
      <c r="AF273" s="92"/>
      <c r="AG273" s="92"/>
      <c r="AH273" s="92" t="s">
        <v>2</v>
      </c>
      <c r="AI273" s="92" t="s">
        <v>1785</v>
      </c>
      <c r="AJ273" s="92" t="s">
        <v>1787</v>
      </c>
      <c r="AK273" s="92" t="s">
        <v>1779</v>
      </c>
      <c r="AL273" s="92">
        <v>0</v>
      </c>
      <c r="AM273" s="92">
        <v>0</v>
      </c>
    </row>
    <row r="274" spans="2:39">
      <c r="B274" s="122">
        <v>2149</v>
      </c>
      <c r="C274" s="132">
        <v>183690</v>
      </c>
      <c r="D274" s="122" t="s">
        <v>433</v>
      </c>
      <c r="E274" s="92" t="s">
        <v>1626</v>
      </c>
      <c r="F274" t="s">
        <v>373</v>
      </c>
      <c r="I274" s="122">
        <v>4</v>
      </c>
      <c r="J274" s="92"/>
      <c r="K274" s="122">
        <v>0</v>
      </c>
      <c r="L274" s="92" t="s">
        <v>1264</v>
      </c>
      <c r="M274" s="92"/>
      <c r="N274" s="92" t="s">
        <v>646</v>
      </c>
      <c r="O274" s="92" t="s">
        <v>1789</v>
      </c>
      <c r="P274" s="92"/>
      <c r="Q274" s="92" t="s">
        <v>1793</v>
      </c>
      <c r="R274" s="92" t="s">
        <v>1794</v>
      </c>
      <c r="S274" s="133">
        <v>42916</v>
      </c>
      <c r="T274" s="133">
        <v>42916</v>
      </c>
      <c r="U274" s="92" t="s">
        <v>1265</v>
      </c>
      <c r="V274" s="122">
        <v>700</v>
      </c>
      <c r="W274" s="122">
        <v>14050</v>
      </c>
      <c r="X274" s="113">
        <v>24000</v>
      </c>
      <c r="Y274" s="122">
        <v>14056</v>
      </c>
      <c r="Z274" s="113">
        <v>23428.48</v>
      </c>
      <c r="AA274" s="113">
        <v>571.52000000000044</v>
      </c>
      <c r="AB274" s="113">
        <v>1142.8399999999999</v>
      </c>
      <c r="AC274" s="122">
        <v>54260</v>
      </c>
      <c r="AD274" s="113">
        <v>285.70999999999998</v>
      </c>
      <c r="AE274" s="122" t="s">
        <v>433</v>
      </c>
      <c r="AF274" s="92"/>
      <c r="AG274" s="92"/>
      <c r="AH274" s="92" t="s">
        <v>2</v>
      </c>
      <c r="AI274" s="92" t="s">
        <v>1785</v>
      </c>
      <c r="AJ274" s="92" t="s">
        <v>1787</v>
      </c>
      <c r="AK274" s="92" t="s">
        <v>1779</v>
      </c>
      <c r="AL274" s="92">
        <v>0</v>
      </c>
      <c r="AM274" s="92">
        <v>0</v>
      </c>
    </row>
    <row r="275" spans="2:39">
      <c r="B275" s="122">
        <v>2149</v>
      </c>
      <c r="C275" s="132">
        <v>183689</v>
      </c>
      <c r="D275" s="122" t="s">
        <v>433</v>
      </c>
      <c r="E275" s="92" t="s">
        <v>1626</v>
      </c>
      <c r="F275" t="s">
        <v>374</v>
      </c>
      <c r="I275" s="122">
        <v>215</v>
      </c>
      <c r="J275" s="92"/>
      <c r="K275" s="122">
        <v>0</v>
      </c>
      <c r="L275" s="92" t="s">
        <v>1264</v>
      </c>
      <c r="M275" s="92"/>
      <c r="N275" s="92" t="s">
        <v>646</v>
      </c>
      <c r="O275" s="92" t="s">
        <v>1789</v>
      </c>
      <c r="P275" s="92"/>
      <c r="Q275" s="92"/>
      <c r="R275" s="92"/>
      <c r="S275" s="133">
        <v>42916</v>
      </c>
      <c r="T275" s="133">
        <v>42916</v>
      </c>
      <c r="U275" s="92" t="s">
        <v>1263</v>
      </c>
      <c r="V275" s="122">
        <v>500</v>
      </c>
      <c r="W275" s="122">
        <v>14050</v>
      </c>
      <c r="X275" s="113">
        <v>6415.06</v>
      </c>
      <c r="Y275" s="122">
        <v>14056</v>
      </c>
      <c r="Z275" s="113">
        <v>6415.06</v>
      </c>
      <c r="AA275" s="113">
        <v>0</v>
      </c>
      <c r="AB275" s="113">
        <v>0</v>
      </c>
      <c r="AC275" s="122">
        <v>54260</v>
      </c>
      <c r="AD275" s="113">
        <v>0</v>
      </c>
      <c r="AE275" s="122" t="s">
        <v>433</v>
      </c>
      <c r="AF275" s="92"/>
      <c r="AG275" s="92"/>
      <c r="AH275" s="92" t="s">
        <v>2</v>
      </c>
      <c r="AI275" s="92" t="s">
        <v>1785</v>
      </c>
      <c r="AJ275" s="92" t="s">
        <v>1787</v>
      </c>
      <c r="AK275" s="92" t="s">
        <v>1779</v>
      </c>
      <c r="AL275" s="92">
        <v>0</v>
      </c>
      <c r="AM275" s="92">
        <v>0</v>
      </c>
    </row>
    <row r="276" spans="2:39">
      <c r="B276" s="122">
        <v>2149</v>
      </c>
      <c r="C276" s="132">
        <v>183684</v>
      </c>
      <c r="D276" s="122" t="s">
        <v>433</v>
      </c>
      <c r="E276" s="92" t="s">
        <v>1626</v>
      </c>
      <c r="F276" t="s">
        <v>404</v>
      </c>
      <c r="I276" s="122">
        <v>1</v>
      </c>
      <c r="J276" s="92" t="s">
        <v>606</v>
      </c>
      <c r="K276" s="122">
        <v>2014</v>
      </c>
      <c r="L276" s="92" t="s">
        <v>1146</v>
      </c>
      <c r="M276" s="92" t="s">
        <v>854</v>
      </c>
      <c r="N276" s="92" t="s">
        <v>1788</v>
      </c>
      <c r="O276" s="92" t="s">
        <v>1789</v>
      </c>
      <c r="P276" s="92" t="s">
        <v>1814</v>
      </c>
      <c r="Q276" s="92"/>
      <c r="R276" s="92"/>
      <c r="S276" s="133">
        <v>42916</v>
      </c>
      <c r="T276" s="133">
        <v>42916</v>
      </c>
      <c r="U276" s="92" t="s">
        <v>1257</v>
      </c>
      <c r="V276" s="122">
        <v>700</v>
      </c>
      <c r="W276" s="122">
        <v>14040</v>
      </c>
      <c r="X276" s="113">
        <v>231300</v>
      </c>
      <c r="Y276" s="122">
        <v>14046</v>
      </c>
      <c r="Z276" s="113">
        <v>225792.87</v>
      </c>
      <c r="AA276" s="113">
        <v>5507.1300000000047</v>
      </c>
      <c r="AB276" s="113">
        <v>11014.28</v>
      </c>
      <c r="AC276" s="122">
        <v>51260</v>
      </c>
      <c r="AD276" s="113">
        <v>2753.57</v>
      </c>
      <c r="AE276" s="122" t="s">
        <v>433</v>
      </c>
      <c r="AF276" s="92"/>
      <c r="AG276" s="92">
        <v>40</v>
      </c>
      <c r="AH276" s="92" t="s">
        <v>2</v>
      </c>
      <c r="AI276" s="92" t="s">
        <v>1785</v>
      </c>
      <c r="AJ276" s="92" t="s">
        <v>1787</v>
      </c>
      <c r="AK276" s="92" t="s">
        <v>1779</v>
      </c>
      <c r="AL276" s="92">
        <v>0</v>
      </c>
      <c r="AM276" s="92">
        <v>0</v>
      </c>
    </row>
    <row r="277" spans="2:39">
      <c r="B277" s="122">
        <v>2149</v>
      </c>
      <c r="C277" s="132">
        <v>183682</v>
      </c>
      <c r="D277" s="122" t="s">
        <v>433</v>
      </c>
      <c r="E277" s="92" t="s">
        <v>1626</v>
      </c>
      <c r="F277" t="s">
        <v>406</v>
      </c>
      <c r="I277" s="122">
        <v>1</v>
      </c>
      <c r="J277" s="92" t="s">
        <v>607</v>
      </c>
      <c r="K277" s="122">
        <v>2013</v>
      </c>
      <c r="L277" s="92" t="s">
        <v>1146</v>
      </c>
      <c r="M277" s="92" t="s">
        <v>956</v>
      </c>
      <c r="N277" s="92" t="s">
        <v>1788</v>
      </c>
      <c r="O277" s="92" t="s">
        <v>1789</v>
      </c>
      <c r="P277" s="92" t="s">
        <v>1814</v>
      </c>
      <c r="Q277" s="92"/>
      <c r="R277" s="92"/>
      <c r="S277" s="133">
        <v>42916</v>
      </c>
      <c r="T277" s="133">
        <v>42916</v>
      </c>
      <c r="U277" s="92" t="s">
        <v>1258</v>
      </c>
      <c r="V277" s="122">
        <v>600</v>
      </c>
      <c r="W277" s="122">
        <v>14040</v>
      </c>
      <c r="X277" s="113">
        <v>215000</v>
      </c>
      <c r="Y277" s="122">
        <v>14046</v>
      </c>
      <c r="Z277" s="113">
        <v>215000</v>
      </c>
      <c r="AA277" s="113">
        <v>0</v>
      </c>
      <c r="AB277" s="113">
        <v>0</v>
      </c>
      <c r="AC277" s="122">
        <v>51260</v>
      </c>
      <c r="AD277" s="113">
        <v>0</v>
      </c>
      <c r="AE277" s="122" t="s">
        <v>433</v>
      </c>
      <c r="AF277" s="92"/>
      <c r="AG277" s="92">
        <v>41</v>
      </c>
      <c r="AH277" s="92" t="s">
        <v>2</v>
      </c>
      <c r="AI277" s="92" t="s">
        <v>1785</v>
      </c>
      <c r="AJ277" s="92" t="s">
        <v>1787</v>
      </c>
      <c r="AK277" s="92" t="s">
        <v>1779</v>
      </c>
      <c r="AL277" s="92">
        <v>0</v>
      </c>
      <c r="AM277" s="92">
        <v>0</v>
      </c>
    </row>
    <row r="278" spans="2:39">
      <c r="B278" s="122">
        <v>2149</v>
      </c>
      <c r="C278" s="132">
        <v>183382</v>
      </c>
      <c r="D278" s="122" t="s">
        <v>433</v>
      </c>
      <c r="E278" s="92" t="s">
        <v>1626</v>
      </c>
      <c r="F278" t="s">
        <v>375</v>
      </c>
      <c r="I278" s="122">
        <v>950</v>
      </c>
      <c r="J278" s="92"/>
      <c r="K278" s="122">
        <v>0</v>
      </c>
      <c r="L278" s="92" t="s">
        <v>1245</v>
      </c>
      <c r="M278" s="92"/>
      <c r="N278" s="92" t="s">
        <v>646</v>
      </c>
      <c r="O278" s="92" t="s">
        <v>1789</v>
      </c>
      <c r="P278" s="92"/>
      <c r="Q278" s="92"/>
      <c r="R278" s="92"/>
      <c r="S278" s="133">
        <v>42905</v>
      </c>
      <c r="T278" s="133">
        <v>42905</v>
      </c>
      <c r="U278" s="92" t="s">
        <v>1252</v>
      </c>
      <c r="V278" s="122">
        <v>700</v>
      </c>
      <c r="W278" s="122">
        <v>14050</v>
      </c>
      <c r="X278" s="113">
        <v>38121.81</v>
      </c>
      <c r="Y278" s="122">
        <v>14056</v>
      </c>
      <c r="Z278" s="113">
        <v>37214.129999999997</v>
      </c>
      <c r="AA278" s="113">
        <v>907.68000000000029</v>
      </c>
      <c r="AB278" s="113">
        <v>1815.32</v>
      </c>
      <c r="AC278" s="122">
        <v>54260</v>
      </c>
      <c r="AD278" s="113">
        <v>453.83</v>
      </c>
      <c r="AE278" s="122" t="s">
        <v>433</v>
      </c>
      <c r="AF278" s="92"/>
      <c r="AG278" s="92"/>
      <c r="AH278" s="92" t="s">
        <v>2</v>
      </c>
      <c r="AI278" s="92" t="s">
        <v>1785</v>
      </c>
      <c r="AJ278" s="92" t="s">
        <v>1787</v>
      </c>
      <c r="AK278" s="92" t="s">
        <v>1779</v>
      </c>
      <c r="AL278" s="92">
        <v>0</v>
      </c>
      <c r="AM278" s="92">
        <v>0</v>
      </c>
    </row>
    <row r="279" spans="2:39">
      <c r="B279" s="122">
        <v>2149</v>
      </c>
      <c r="C279" s="132">
        <v>183283</v>
      </c>
      <c r="D279" s="122" t="s">
        <v>433</v>
      </c>
      <c r="E279" s="92" t="s">
        <v>1626</v>
      </c>
      <c r="F279" t="s">
        <v>1262</v>
      </c>
      <c r="I279" s="122">
        <v>1</v>
      </c>
      <c r="J279" s="92" t="s">
        <v>1261</v>
      </c>
      <c r="K279" s="122">
        <v>2018</v>
      </c>
      <c r="L279" s="92" t="s">
        <v>1260</v>
      </c>
      <c r="M279" s="92" t="s">
        <v>956</v>
      </c>
      <c r="N279" s="92" t="s">
        <v>1788</v>
      </c>
      <c r="O279" s="92" t="s">
        <v>1789</v>
      </c>
      <c r="P279" s="92" t="s">
        <v>1809</v>
      </c>
      <c r="Q279" s="92"/>
      <c r="R279" s="92"/>
      <c r="S279" s="133">
        <v>42856</v>
      </c>
      <c r="T279" s="133">
        <v>42856</v>
      </c>
      <c r="U279" s="92" t="s">
        <v>1259</v>
      </c>
      <c r="V279" s="122">
        <v>1000</v>
      </c>
      <c r="W279" s="122">
        <v>14040</v>
      </c>
      <c r="X279" s="113">
        <v>213770.91</v>
      </c>
      <c r="Y279" s="122">
        <v>14046</v>
      </c>
      <c r="Z279" s="113">
        <v>149639.54</v>
      </c>
      <c r="AA279" s="113">
        <v>64131.369999999995</v>
      </c>
      <c r="AB279" s="113">
        <v>7125.68</v>
      </c>
      <c r="AC279" s="122">
        <v>51260</v>
      </c>
      <c r="AD279" s="113">
        <v>1781.42</v>
      </c>
      <c r="AE279" s="122" t="s">
        <v>433</v>
      </c>
      <c r="AF279" s="92"/>
      <c r="AG279" s="92">
        <v>22</v>
      </c>
      <c r="AH279" s="92" t="s">
        <v>2</v>
      </c>
      <c r="AI279" s="92" t="s">
        <v>1785</v>
      </c>
      <c r="AJ279" s="92" t="s">
        <v>1787</v>
      </c>
      <c r="AK279" s="92" t="s">
        <v>1779</v>
      </c>
      <c r="AL279" s="92">
        <v>0</v>
      </c>
      <c r="AM279" s="92">
        <v>0</v>
      </c>
    </row>
    <row r="280" spans="2:39">
      <c r="B280" s="122">
        <v>2149</v>
      </c>
      <c r="C280" s="132">
        <v>183282</v>
      </c>
      <c r="D280" s="122" t="s">
        <v>433</v>
      </c>
      <c r="E280" s="92" t="s">
        <v>1626</v>
      </c>
      <c r="F280" t="s">
        <v>376</v>
      </c>
      <c r="I280" s="122">
        <v>1</v>
      </c>
      <c r="J280" s="92"/>
      <c r="K280" s="122">
        <v>0</v>
      </c>
      <c r="L280" s="92" t="s">
        <v>1221</v>
      </c>
      <c r="M280" s="92"/>
      <c r="N280" s="92" t="s">
        <v>1798</v>
      </c>
      <c r="O280" s="92" t="s">
        <v>1789</v>
      </c>
      <c r="P280" s="92"/>
      <c r="Q280" s="92"/>
      <c r="R280" s="92"/>
      <c r="S280" s="133">
        <v>42912</v>
      </c>
      <c r="T280" s="133">
        <v>42912</v>
      </c>
      <c r="U280" s="92" t="s">
        <v>1249</v>
      </c>
      <c r="V280" s="122">
        <v>300</v>
      </c>
      <c r="W280" s="122">
        <v>14110</v>
      </c>
      <c r="X280" s="113">
        <v>510.23</v>
      </c>
      <c r="Y280" s="122">
        <v>14116</v>
      </c>
      <c r="Z280" s="113">
        <v>510.23</v>
      </c>
      <c r="AA280" s="113">
        <v>0</v>
      </c>
      <c r="AB280" s="113">
        <v>0</v>
      </c>
      <c r="AC280" s="122">
        <v>70260</v>
      </c>
      <c r="AD280" s="113">
        <v>0</v>
      </c>
      <c r="AE280" s="122" t="s">
        <v>433</v>
      </c>
      <c r="AF280" s="92"/>
      <c r="AG280" s="92"/>
      <c r="AH280" s="92" t="s">
        <v>2</v>
      </c>
      <c r="AI280" s="92" t="s">
        <v>1785</v>
      </c>
      <c r="AJ280" s="92" t="s">
        <v>1787</v>
      </c>
      <c r="AK280" s="92" t="s">
        <v>1779</v>
      </c>
      <c r="AL280" s="92">
        <v>0</v>
      </c>
      <c r="AM280" s="92">
        <v>0</v>
      </c>
    </row>
    <row r="281" spans="2:39">
      <c r="B281" s="122">
        <v>2149</v>
      </c>
      <c r="C281" s="132">
        <v>183138</v>
      </c>
      <c r="D281" s="122">
        <v>183682</v>
      </c>
      <c r="E281" s="92" t="s">
        <v>1626</v>
      </c>
      <c r="F281" t="s">
        <v>408</v>
      </c>
      <c r="I281" s="122">
        <v>1</v>
      </c>
      <c r="J281" s="92"/>
      <c r="K281" s="122">
        <v>0</v>
      </c>
      <c r="L281" s="92" t="s">
        <v>1256</v>
      </c>
      <c r="M281" s="92" t="s">
        <v>1146</v>
      </c>
      <c r="N281" s="92" t="s">
        <v>1788</v>
      </c>
      <c r="O281" s="92" t="s">
        <v>1789</v>
      </c>
      <c r="P281" s="92" t="s">
        <v>683</v>
      </c>
      <c r="Q281" s="92"/>
      <c r="R281" s="92"/>
      <c r="S281" s="133">
        <v>42913</v>
      </c>
      <c r="T281" s="133">
        <v>42913</v>
      </c>
      <c r="U281" s="92" t="s">
        <v>1258</v>
      </c>
      <c r="V281" s="122">
        <v>500</v>
      </c>
      <c r="W281" s="122">
        <v>14040</v>
      </c>
      <c r="X281" s="113">
        <v>15667.9</v>
      </c>
      <c r="Y281" s="122">
        <v>14046</v>
      </c>
      <c r="Z281" s="113">
        <v>15667.9</v>
      </c>
      <c r="AA281" s="113">
        <v>0</v>
      </c>
      <c r="AB281" s="113">
        <v>0</v>
      </c>
      <c r="AC281" s="122">
        <v>51260</v>
      </c>
      <c r="AD281" s="113">
        <v>0</v>
      </c>
      <c r="AE281" s="122" t="s">
        <v>433</v>
      </c>
      <c r="AF281" s="92"/>
      <c r="AG281" s="92"/>
      <c r="AH281" s="92" t="s">
        <v>2</v>
      </c>
      <c r="AI281" s="92" t="s">
        <v>1785</v>
      </c>
      <c r="AJ281" s="92" t="s">
        <v>1787</v>
      </c>
      <c r="AK281" s="92" t="s">
        <v>1779</v>
      </c>
      <c r="AL281" s="92">
        <v>0</v>
      </c>
      <c r="AM281" s="92">
        <v>0</v>
      </c>
    </row>
    <row r="282" spans="2:39">
      <c r="B282" s="122">
        <v>2149</v>
      </c>
      <c r="C282" s="132">
        <v>183137</v>
      </c>
      <c r="D282" s="122">
        <v>183684</v>
      </c>
      <c r="E282" s="92" t="s">
        <v>1626</v>
      </c>
      <c r="F282" t="s">
        <v>408</v>
      </c>
      <c r="I282" s="122">
        <v>1</v>
      </c>
      <c r="J282" s="92"/>
      <c r="K282" s="122">
        <v>0</v>
      </c>
      <c r="L282" s="92" t="s">
        <v>1256</v>
      </c>
      <c r="M282" s="92" t="s">
        <v>1146</v>
      </c>
      <c r="N282" s="92" t="s">
        <v>1788</v>
      </c>
      <c r="O282" s="92" t="s">
        <v>1789</v>
      </c>
      <c r="P282" s="92" t="s">
        <v>683</v>
      </c>
      <c r="Q282" s="92"/>
      <c r="R282" s="92"/>
      <c r="S282" s="133">
        <v>42913</v>
      </c>
      <c r="T282" s="133">
        <v>42913</v>
      </c>
      <c r="U282" s="92" t="s">
        <v>1257</v>
      </c>
      <c r="V282" s="122">
        <v>600</v>
      </c>
      <c r="W282" s="122">
        <v>14040</v>
      </c>
      <c r="X282" s="113">
        <v>19460.7</v>
      </c>
      <c r="Y282" s="122">
        <v>14046</v>
      </c>
      <c r="Z282" s="113">
        <v>19460.7</v>
      </c>
      <c r="AA282" s="113">
        <v>0</v>
      </c>
      <c r="AB282" s="113">
        <v>0</v>
      </c>
      <c r="AC282" s="122">
        <v>51260</v>
      </c>
      <c r="AD282" s="113">
        <v>0</v>
      </c>
      <c r="AE282" s="122" t="s">
        <v>433</v>
      </c>
      <c r="AF282" s="92"/>
      <c r="AG282" s="92"/>
      <c r="AH282" s="92" t="s">
        <v>2</v>
      </c>
      <c r="AI282" s="92" t="s">
        <v>1785</v>
      </c>
      <c r="AJ282" s="92" t="s">
        <v>1787</v>
      </c>
      <c r="AK282" s="92" t="s">
        <v>1779</v>
      </c>
      <c r="AL282" s="92">
        <v>0</v>
      </c>
      <c r="AM282" s="92">
        <v>0</v>
      </c>
    </row>
    <row r="283" spans="2:39">
      <c r="B283" s="122">
        <v>2149</v>
      </c>
      <c r="C283" s="132">
        <v>183134</v>
      </c>
      <c r="D283" s="122">
        <v>183682</v>
      </c>
      <c r="E283" s="92" t="s">
        <v>1626</v>
      </c>
      <c r="F283" t="s">
        <v>408</v>
      </c>
      <c r="I283" s="122">
        <v>1</v>
      </c>
      <c r="J283" s="92"/>
      <c r="K283" s="122">
        <v>0</v>
      </c>
      <c r="L283" s="92" t="s">
        <v>1256</v>
      </c>
      <c r="M283" s="92" t="s">
        <v>1146</v>
      </c>
      <c r="N283" s="92" t="s">
        <v>1788</v>
      </c>
      <c r="O283" s="92" t="s">
        <v>1789</v>
      </c>
      <c r="P283" s="92" t="s">
        <v>683</v>
      </c>
      <c r="Q283" s="92"/>
      <c r="R283" s="92"/>
      <c r="S283" s="133">
        <v>42913</v>
      </c>
      <c r="T283" s="133">
        <v>42913</v>
      </c>
      <c r="U283" s="92" t="s">
        <v>1255</v>
      </c>
      <c r="V283" s="122">
        <v>300</v>
      </c>
      <c r="W283" s="122">
        <v>14040</v>
      </c>
      <c r="X283" s="113">
        <v>1342.06</v>
      </c>
      <c r="Y283" s="122">
        <v>14046</v>
      </c>
      <c r="Z283" s="113">
        <v>1342.06</v>
      </c>
      <c r="AA283" s="113">
        <v>0</v>
      </c>
      <c r="AB283" s="113">
        <v>0</v>
      </c>
      <c r="AC283" s="122">
        <v>51260</v>
      </c>
      <c r="AD283" s="113">
        <v>0</v>
      </c>
      <c r="AE283" s="122" t="s">
        <v>433</v>
      </c>
      <c r="AF283" s="92"/>
      <c r="AG283" s="92"/>
      <c r="AH283" s="92" t="s">
        <v>2</v>
      </c>
      <c r="AI283" s="92" t="s">
        <v>1785</v>
      </c>
      <c r="AJ283" s="92" t="s">
        <v>1787</v>
      </c>
      <c r="AK283" s="92" t="s">
        <v>1779</v>
      </c>
      <c r="AL283" s="92">
        <v>0</v>
      </c>
      <c r="AM283" s="92">
        <v>0</v>
      </c>
    </row>
    <row r="284" spans="2:39">
      <c r="B284" s="122">
        <v>2149</v>
      </c>
      <c r="C284" s="132">
        <v>182817</v>
      </c>
      <c r="D284" s="122" t="s">
        <v>433</v>
      </c>
      <c r="E284" s="92" t="s">
        <v>1626</v>
      </c>
      <c r="F284" t="s">
        <v>377</v>
      </c>
      <c r="I284" s="122">
        <v>783</v>
      </c>
      <c r="J284" s="92"/>
      <c r="K284" s="122">
        <v>0</v>
      </c>
      <c r="L284" s="92" t="s">
        <v>1245</v>
      </c>
      <c r="M284" s="92"/>
      <c r="N284" s="92" t="s">
        <v>646</v>
      </c>
      <c r="O284" s="92" t="s">
        <v>1789</v>
      </c>
      <c r="P284" s="92"/>
      <c r="Q284" s="92"/>
      <c r="R284" s="92"/>
      <c r="S284" s="133">
        <v>42905</v>
      </c>
      <c r="T284" s="133">
        <v>42905</v>
      </c>
      <c r="U284" s="92" t="s">
        <v>1252</v>
      </c>
      <c r="V284" s="122">
        <v>700</v>
      </c>
      <c r="W284" s="122">
        <v>14050</v>
      </c>
      <c r="X284" s="113">
        <v>33739.599999999999</v>
      </c>
      <c r="Y284" s="122">
        <v>14056</v>
      </c>
      <c r="Z284" s="113">
        <v>32936.25</v>
      </c>
      <c r="AA284" s="113">
        <v>803.34999999999854</v>
      </c>
      <c r="AB284" s="113">
        <v>1606.64</v>
      </c>
      <c r="AC284" s="122">
        <v>54260</v>
      </c>
      <c r="AD284" s="113">
        <v>401.66</v>
      </c>
      <c r="AE284" s="122" t="s">
        <v>433</v>
      </c>
      <c r="AF284" s="92"/>
      <c r="AG284" s="92"/>
      <c r="AH284" s="92" t="s">
        <v>2</v>
      </c>
      <c r="AI284" s="92" t="s">
        <v>1785</v>
      </c>
      <c r="AJ284" s="92" t="s">
        <v>1787</v>
      </c>
      <c r="AK284" s="92" t="s">
        <v>1779</v>
      </c>
      <c r="AL284" s="92">
        <v>0</v>
      </c>
      <c r="AM284" s="92">
        <v>0</v>
      </c>
    </row>
    <row r="285" spans="2:39">
      <c r="B285" s="122">
        <v>2149</v>
      </c>
      <c r="C285" s="132">
        <v>182816</v>
      </c>
      <c r="D285" s="122" t="s">
        <v>433</v>
      </c>
      <c r="E285" s="92" t="s">
        <v>1626</v>
      </c>
      <c r="F285" t="s">
        <v>375</v>
      </c>
      <c r="I285" s="122">
        <v>950</v>
      </c>
      <c r="J285" s="92"/>
      <c r="K285" s="122">
        <v>0</v>
      </c>
      <c r="L285" s="92" t="s">
        <v>1245</v>
      </c>
      <c r="M285" s="92"/>
      <c r="N285" s="92" t="s">
        <v>646</v>
      </c>
      <c r="O285" s="92" t="s">
        <v>1789</v>
      </c>
      <c r="P285" s="92"/>
      <c r="Q285" s="92"/>
      <c r="R285" s="92"/>
      <c r="S285" s="133">
        <v>42895</v>
      </c>
      <c r="T285" s="133">
        <v>42895</v>
      </c>
      <c r="U285" s="92" t="s">
        <v>1252</v>
      </c>
      <c r="V285" s="122">
        <v>700</v>
      </c>
      <c r="W285" s="122">
        <v>14050</v>
      </c>
      <c r="X285" s="113">
        <v>38121.81</v>
      </c>
      <c r="Y285" s="122">
        <v>14056</v>
      </c>
      <c r="Z285" s="113">
        <v>37667.96</v>
      </c>
      <c r="AA285" s="113">
        <v>453.84999999999854</v>
      </c>
      <c r="AB285" s="113">
        <v>1815.32</v>
      </c>
      <c r="AC285" s="122">
        <v>54260</v>
      </c>
      <c r="AD285" s="113">
        <v>453.83</v>
      </c>
      <c r="AE285" s="122" t="s">
        <v>433</v>
      </c>
      <c r="AF285" s="92"/>
      <c r="AG285" s="92"/>
      <c r="AH285" s="92" t="s">
        <v>2</v>
      </c>
      <c r="AI285" s="92" t="s">
        <v>1785</v>
      </c>
      <c r="AJ285" s="92" t="s">
        <v>1787</v>
      </c>
      <c r="AK285" s="92" t="s">
        <v>1779</v>
      </c>
      <c r="AL285" s="92">
        <v>0</v>
      </c>
      <c r="AM285" s="92">
        <v>0</v>
      </c>
    </row>
    <row r="286" spans="2:39">
      <c r="B286" s="122">
        <v>2149</v>
      </c>
      <c r="C286" s="132">
        <v>182596</v>
      </c>
      <c r="D286" s="122" t="s">
        <v>433</v>
      </c>
      <c r="E286" s="92" t="s">
        <v>1626</v>
      </c>
      <c r="F286" t="s">
        <v>1254</v>
      </c>
      <c r="I286" s="122">
        <v>280</v>
      </c>
      <c r="J286" s="92"/>
      <c r="K286" s="122">
        <v>0</v>
      </c>
      <c r="L286" s="92" t="s">
        <v>1245</v>
      </c>
      <c r="M286" s="92"/>
      <c r="N286" s="92" t="s">
        <v>646</v>
      </c>
      <c r="O286" s="92" t="s">
        <v>1789</v>
      </c>
      <c r="P286" s="92"/>
      <c r="Q286" s="92"/>
      <c r="R286" s="92"/>
      <c r="S286" s="133">
        <v>42895</v>
      </c>
      <c r="T286" s="133">
        <v>42895</v>
      </c>
      <c r="U286" s="92" t="s">
        <v>1252</v>
      </c>
      <c r="V286" s="122">
        <v>700</v>
      </c>
      <c r="W286" s="122">
        <v>14050</v>
      </c>
      <c r="X286" s="113">
        <v>14281.93</v>
      </c>
      <c r="Y286" s="122">
        <v>14056</v>
      </c>
      <c r="Z286" s="113">
        <v>14111.92</v>
      </c>
      <c r="AA286" s="113">
        <v>170.01000000000022</v>
      </c>
      <c r="AB286" s="113">
        <v>680.08</v>
      </c>
      <c r="AC286" s="122">
        <v>54260</v>
      </c>
      <c r="AD286" s="113">
        <v>170.02</v>
      </c>
      <c r="AE286" s="122" t="s">
        <v>433</v>
      </c>
      <c r="AF286" s="92"/>
      <c r="AG286" s="92"/>
      <c r="AH286" s="92" t="s">
        <v>2</v>
      </c>
      <c r="AI286" s="92" t="s">
        <v>1785</v>
      </c>
      <c r="AJ286" s="92" t="s">
        <v>1787</v>
      </c>
      <c r="AK286" s="92" t="s">
        <v>1779</v>
      </c>
      <c r="AL286" s="92">
        <v>0</v>
      </c>
      <c r="AM286" s="92">
        <v>0</v>
      </c>
    </row>
    <row r="287" spans="2:39">
      <c r="B287" s="122">
        <v>2149</v>
      </c>
      <c r="C287" s="132">
        <v>182595</v>
      </c>
      <c r="D287" s="122" t="s">
        <v>433</v>
      </c>
      <c r="E287" s="92" t="s">
        <v>1626</v>
      </c>
      <c r="F287" t="s">
        <v>1253</v>
      </c>
      <c r="I287" s="122">
        <v>660</v>
      </c>
      <c r="J287" s="92"/>
      <c r="K287" s="122">
        <v>0</v>
      </c>
      <c r="L287" s="92" t="s">
        <v>1245</v>
      </c>
      <c r="M287" s="92"/>
      <c r="N287" s="92" t="s">
        <v>646</v>
      </c>
      <c r="O287" s="92" t="s">
        <v>1789</v>
      </c>
      <c r="P287" s="92"/>
      <c r="Q287" s="92"/>
      <c r="R287" s="92"/>
      <c r="S287" s="133">
        <v>42895</v>
      </c>
      <c r="T287" s="133">
        <v>42895</v>
      </c>
      <c r="U287" s="92" t="s">
        <v>1252</v>
      </c>
      <c r="V287" s="122">
        <v>700</v>
      </c>
      <c r="W287" s="122">
        <v>14050</v>
      </c>
      <c r="X287" s="113">
        <v>29188.93</v>
      </c>
      <c r="Y287" s="122">
        <v>14056</v>
      </c>
      <c r="Z287" s="113">
        <v>28841.47</v>
      </c>
      <c r="AA287" s="113">
        <v>347.45999999999913</v>
      </c>
      <c r="AB287" s="113">
        <v>1389.96</v>
      </c>
      <c r="AC287" s="122">
        <v>54260</v>
      </c>
      <c r="AD287" s="113">
        <v>347.49</v>
      </c>
      <c r="AE287" s="122" t="s">
        <v>433</v>
      </c>
      <c r="AF287" s="92"/>
      <c r="AG287" s="92"/>
      <c r="AH287" s="92" t="s">
        <v>2</v>
      </c>
      <c r="AI287" s="92" t="s">
        <v>1785</v>
      </c>
      <c r="AJ287" s="92" t="s">
        <v>1787</v>
      </c>
      <c r="AK287" s="92" t="s">
        <v>1779</v>
      </c>
      <c r="AL287" s="92">
        <v>0</v>
      </c>
      <c r="AM287" s="92">
        <v>0</v>
      </c>
    </row>
    <row r="288" spans="2:39">
      <c r="B288" s="122">
        <v>2149</v>
      </c>
      <c r="C288" s="132">
        <v>182212</v>
      </c>
      <c r="D288" s="122" t="s">
        <v>433</v>
      </c>
      <c r="E288" s="92" t="s">
        <v>1626</v>
      </c>
      <c r="F288" t="s">
        <v>1251</v>
      </c>
      <c r="I288" s="122">
        <v>1</v>
      </c>
      <c r="J288" s="92"/>
      <c r="K288" s="122">
        <v>0</v>
      </c>
      <c r="L288" s="92" t="s">
        <v>978</v>
      </c>
      <c r="M288" s="92"/>
      <c r="N288" s="92" t="s">
        <v>1798</v>
      </c>
      <c r="O288" s="92" t="s">
        <v>1789</v>
      </c>
      <c r="P288" s="92"/>
      <c r="Q288" s="92"/>
      <c r="R288" s="92"/>
      <c r="S288" s="133">
        <v>42880</v>
      </c>
      <c r="T288" s="133">
        <v>42880</v>
      </c>
      <c r="U288" s="92" t="s">
        <v>1250</v>
      </c>
      <c r="V288" s="122">
        <v>300</v>
      </c>
      <c r="W288" s="122">
        <v>14110</v>
      </c>
      <c r="X288" s="113">
        <v>1360.13</v>
      </c>
      <c r="Y288" s="122">
        <v>14116</v>
      </c>
      <c r="Z288" s="113">
        <v>1360.13</v>
      </c>
      <c r="AA288" s="113">
        <v>0</v>
      </c>
      <c r="AB288" s="113">
        <v>0</v>
      </c>
      <c r="AC288" s="122">
        <v>70260</v>
      </c>
      <c r="AD288" s="113">
        <v>0</v>
      </c>
      <c r="AE288" s="122" t="s">
        <v>433</v>
      </c>
      <c r="AF288" s="92"/>
      <c r="AG288" s="92"/>
      <c r="AH288" s="92" t="s">
        <v>2</v>
      </c>
      <c r="AI288" s="92" t="s">
        <v>1785</v>
      </c>
      <c r="AJ288" s="92" t="s">
        <v>1787</v>
      </c>
      <c r="AK288" s="92" t="s">
        <v>1779</v>
      </c>
      <c r="AL288" s="92">
        <v>0</v>
      </c>
      <c r="AM288" s="92">
        <v>0</v>
      </c>
    </row>
    <row r="289" spans="2:39">
      <c r="B289" s="122">
        <v>2149</v>
      </c>
      <c r="C289" s="132">
        <v>182211</v>
      </c>
      <c r="D289" s="122" t="s">
        <v>433</v>
      </c>
      <c r="E289" s="92" t="s">
        <v>1626</v>
      </c>
      <c r="F289" t="s">
        <v>391</v>
      </c>
      <c r="I289" s="122">
        <v>1</v>
      </c>
      <c r="J289" s="92"/>
      <c r="K289" s="122">
        <v>0</v>
      </c>
      <c r="L289" s="92" t="s">
        <v>978</v>
      </c>
      <c r="M289" s="92"/>
      <c r="N289" s="92" t="s">
        <v>1798</v>
      </c>
      <c r="O289" s="92" t="s">
        <v>1789</v>
      </c>
      <c r="P289" s="92"/>
      <c r="Q289" s="92"/>
      <c r="R289" s="92"/>
      <c r="S289" s="133">
        <v>42852</v>
      </c>
      <c r="T289" s="133">
        <v>42852</v>
      </c>
      <c r="U289" s="92" t="s">
        <v>1249</v>
      </c>
      <c r="V289" s="122">
        <v>300</v>
      </c>
      <c r="W289" s="122">
        <v>14110</v>
      </c>
      <c r="X289" s="113">
        <v>1016.67</v>
      </c>
      <c r="Y289" s="122">
        <v>14116</v>
      </c>
      <c r="Z289" s="113">
        <v>1016.67</v>
      </c>
      <c r="AA289" s="113">
        <v>0</v>
      </c>
      <c r="AB289" s="113">
        <v>0</v>
      </c>
      <c r="AC289" s="122">
        <v>70260</v>
      </c>
      <c r="AD289" s="113">
        <v>0</v>
      </c>
      <c r="AE289" s="122" t="s">
        <v>433</v>
      </c>
      <c r="AF289" s="92"/>
      <c r="AG289" s="92"/>
      <c r="AH289" s="92" t="s">
        <v>2</v>
      </c>
      <c r="AI289" s="92" t="s">
        <v>1785</v>
      </c>
      <c r="AJ289" s="92" t="s">
        <v>1787</v>
      </c>
      <c r="AK289" s="92" t="s">
        <v>1779</v>
      </c>
      <c r="AL289" s="92">
        <v>0</v>
      </c>
      <c r="AM289" s="92">
        <v>0</v>
      </c>
    </row>
    <row r="290" spans="2:39">
      <c r="B290" s="122">
        <v>2149</v>
      </c>
      <c r="C290" s="132">
        <v>182210</v>
      </c>
      <c r="D290" s="122" t="s">
        <v>433</v>
      </c>
      <c r="E290" s="92" t="s">
        <v>1626</v>
      </c>
      <c r="F290" t="s">
        <v>392</v>
      </c>
      <c r="I290" s="122">
        <v>1</v>
      </c>
      <c r="J290" s="92"/>
      <c r="K290" s="122">
        <v>0</v>
      </c>
      <c r="L290" s="92" t="s">
        <v>978</v>
      </c>
      <c r="M290" s="92"/>
      <c r="N290" s="92" t="s">
        <v>1798</v>
      </c>
      <c r="O290" s="92" t="s">
        <v>1789</v>
      </c>
      <c r="P290" s="92"/>
      <c r="Q290" s="92"/>
      <c r="R290" s="92"/>
      <c r="S290" s="133">
        <v>42852</v>
      </c>
      <c r="T290" s="133">
        <v>42852</v>
      </c>
      <c r="U290" s="92" t="s">
        <v>1249</v>
      </c>
      <c r="V290" s="122">
        <v>300</v>
      </c>
      <c r="W290" s="122">
        <v>14110</v>
      </c>
      <c r="X290" s="113">
        <v>1016.66</v>
      </c>
      <c r="Y290" s="122">
        <v>14116</v>
      </c>
      <c r="Z290" s="113">
        <v>1016.66</v>
      </c>
      <c r="AA290" s="113">
        <v>0</v>
      </c>
      <c r="AB290" s="113">
        <v>0</v>
      </c>
      <c r="AC290" s="122">
        <v>70260</v>
      </c>
      <c r="AD290" s="113">
        <v>0</v>
      </c>
      <c r="AE290" s="122" t="s">
        <v>433</v>
      </c>
      <c r="AF290" s="92"/>
      <c r="AG290" s="92"/>
      <c r="AH290" s="92" t="s">
        <v>2</v>
      </c>
      <c r="AI290" s="92" t="s">
        <v>1785</v>
      </c>
      <c r="AJ290" s="92" t="s">
        <v>1787</v>
      </c>
      <c r="AK290" s="92" t="s">
        <v>1779</v>
      </c>
      <c r="AL290" s="92">
        <v>0</v>
      </c>
      <c r="AM290" s="92">
        <v>0</v>
      </c>
    </row>
    <row r="291" spans="2:39">
      <c r="B291" s="122">
        <v>2149</v>
      </c>
      <c r="C291" s="132">
        <v>180523</v>
      </c>
      <c r="D291" s="122">
        <v>80334</v>
      </c>
      <c r="E291" s="92" t="s">
        <v>1626</v>
      </c>
      <c r="F291" t="s">
        <v>1248</v>
      </c>
      <c r="I291" s="122">
        <v>1</v>
      </c>
      <c r="J291" s="92"/>
      <c r="K291" s="122">
        <v>0</v>
      </c>
      <c r="L291" s="92" t="s">
        <v>1146</v>
      </c>
      <c r="M291" s="92"/>
      <c r="N291" s="92" t="s">
        <v>1788</v>
      </c>
      <c r="O291" s="92" t="s">
        <v>1789</v>
      </c>
      <c r="P291" s="92" t="s">
        <v>683</v>
      </c>
      <c r="Q291" s="92"/>
      <c r="R291" s="92"/>
      <c r="S291" s="133">
        <v>42855</v>
      </c>
      <c r="T291" s="133">
        <v>42855</v>
      </c>
      <c r="U291" s="92" t="s">
        <v>1247</v>
      </c>
      <c r="V291" s="122">
        <v>300</v>
      </c>
      <c r="W291" s="122">
        <v>14040</v>
      </c>
      <c r="X291" s="113">
        <v>23393.360000000001</v>
      </c>
      <c r="Y291" s="122">
        <v>14046</v>
      </c>
      <c r="Z291" s="113">
        <v>23393.360000000001</v>
      </c>
      <c r="AA291" s="113">
        <v>0</v>
      </c>
      <c r="AB291" s="113">
        <v>0</v>
      </c>
      <c r="AC291" s="122">
        <v>51260</v>
      </c>
      <c r="AD291" s="113">
        <v>0</v>
      </c>
      <c r="AE291" s="122" t="s">
        <v>433</v>
      </c>
      <c r="AF291" s="92"/>
      <c r="AG291" s="92"/>
      <c r="AH291" s="92" t="s">
        <v>2</v>
      </c>
      <c r="AI291" s="92" t="s">
        <v>1785</v>
      </c>
      <c r="AJ291" s="92" t="s">
        <v>1787</v>
      </c>
      <c r="AK291" s="92" t="s">
        <v>1779</v>
      </c>
      <c r="AL291" s="92">
        <v>0</v>
      </c>
      <c r="AM291" s="92">
        <v>0</v>
      </c>
    </row>
    <row r="292" spans="2:39">
      <c r="B292" s="122">
        <v>2149</v>
      </c>
      <c r="C292" s="132">
        <v>178888</v>
      </c>
      <c r="D292" s="122" t="s">
        <v>433</v>
      </c>
      <c r="E292" s="92" t="s">
        <v>1626</v>
      </c>
      <c r="F292" t="s">
        <v>393</v>
      </c>
      <c r="I292" s="122">
        <v>524</v>
      </c>
      <c r="J292" s="92"/>
      <c r="K292" s="122">
        <v>0</v>
      </c>
      <c r="L292" s="92" t="s">
        <v>1245</v>
      </c>
      <c r="M292" s="92"/>
      <c r="N292" s="92" t="s">
        <v>646</v>
      </c>
      <c r="O292" s="92" t="s">
        <v>1789</v>
      </c>
      <c r="P292" s="92"/>
      <c r="Q292" s="92"/>
      <c r="R292" s="92"/>
      <c r="S292" s="133">
        <v>42815</v>
      </c>
      <c r="T292" s="133">
        <v>42815</v>
      </c>
      <c r="U292" s="92" t="s">
        <v>1246</v>
      </c>
      <c r="V292" s="122">
        <v>700</v>
      </c>
      <c r="W292" s="122">
        <v>14050</v>
      </c>
      <c r="X292" s="113">
        <v>28674.51</v>
      </c>
      <c r="Y292" s="122">
        <v>14056</v>
      </c>
      <c r="Z292" s="113">
        <v>28674.51</v>
      </c>
      <c r="AA292" s="113">
        <v>0</v>
      </c>
      <c r="AB292" s="113">
        <v>1024.08</v>
      </c>
      <c r="AC292" s="122">
        <v>54260</v>
      </c>
      <c r="AD292" s="113">
        <v>341.36</v>
      </c>
      <c r="AE292" s="122" t="s">
        <v>433</v>
      </c>
      <c r="AF292" s="92"/>
      <c r="AG292" s="92"/>
      <c r="AH292" s="92" t="s">
        <v>2</v>
      </c>
      <c r="AI292" s="92" t="s">
        <v>1785</v>
      </c>
      <c r="AJ292" s="92" t="s">
        <v>1787</v>
      </c>
      <c r="AK292" s="92" t="s">
        <v>1779</v>
      </c>
      <c r="AL292" s="92">
        <v>0</v>
      </c>
      <c r="AM292" s="92">
        <v>0</v>
      </c>
    </row>
    <row r="293" spans="2:39">
      <c r="B293" s="122">
        <v>2149</v>
      </c>
      <c r="C293" s="132">
        <v>178887</v>
      </c>
      <c r="D293" s="122" t="s">
        <v>433</v>
      </c>
      <c r="E293" s="92" t="s">
        <v>1626</v>
      </c>
      <c r="F293" t="s">
        <v>380</v>
      </c>
      <c r="I293" s="122">
        <v>100</v>
      </c>
      <c r="J293" s="92"/>
      <c r="K293" s="122">
        <v>0</v>
      </c>
      <c r="L293" s="92" t="s">
        <v>1245</v>
      </c>
      <c r="M293" s="92"/>
      <c r="N293" s="92" t="s">
        <v>646</v>
      </c>
      <c r="O293" s="92" t="s">
        <v>1789</v>
      </c>
      <c r="P293" s="92"/>
      <c r="Q293" s="92"/>
      <c r="R293" s="92"/>
      <c r="S293" s="133">
        <v>42815</v>
      </c>
      <c r="T293" s="133">
        <v>42815</v>
      </c>
      <c r="U293" s="92" t="s">
        <v>1244</v>
      </c>
      <c r="V293" s="122">
        <v>700</v>
      </c>
      <c r="W293" s="122">
        <v>14050</v>
      </c>
      <c r="X293" s="113">
        <v>5201</v>
      </c>
      <c r="Y293" s="122">
        <v>14056</v>
      </c>
      <c r="Z293" s="113">
        <v>5201</v>
      </c>
      <c r="AA293" s="113">
        <v>0</v>
      </c>
      <c r="AB293" s="113">
        <v>185.75</v>
      </c>
      <c r="AC293" s="122">
        <v>54260</v>
      </c>
      <c r="AD293" s="113">
        <v>61.91</v>
      </c>
      <c r="AE293" s="122" t="s">
        <v>433</v>
      </c>
      <c r="AF293" s="92"/>
      <c r="AG293" s="92"/>
      <c r="AH293" s="92" t="s">
        <v>2</v>
      </c>
      <c r="AI293" s="92" t="s">
        <v>1785</v>
      </c>
      <c r="AJ293" s="92" t="s">
        <v>1787</v>
      </c>
      <c r="AK293" s="92" t="s">
        <v>1779</v>
      </c>
      <c r="AL293" s="92">
        <v>0</v>
      </c>
      <c r="AM293" s="92">
        <v>0</v>
      </c>
    </row>
    <row r="294" spans="2:39">
      <c r="B294" s="122">
        <v>2149</v>
      </c>
      <c r="C294" s="132">
        <v>177913</v>
      </c>
      <c r="D294" s="122" t="s">
        <v>433</v>
      </c>
      <c r="E294" s="92" t="s">
        <v>1626</v>
      </c>
      <c r="F294" t="s">
        <v>1243</v>
      </c>
      <c r="I294" s="122">
        <v>40</v>
      </c>
      <c r="J294" s="92"/>
      <c r="K294" s="122">
        <v>0</v>
      </c>
      <c r="L294" s="92" t="s">
        <v>1241</v>
      </c>
      <c r="M294" s="92"/>
      <c r="N294" s="92" t="s">
        <v>646</v>
      </c>
      <c r="O294" s="92" t="s">
        <v>1789</v>
      </c>
      <c r="P294" s="92"/>
      <c r="Q294" s="92" t="s">
        <v>1792</v>
      </c>
      <c r="R294" s="92" t="s">
        <v>1791</v>
      </c>
      <c r="S294" s="133">
        <v>42804</v>
      </c>
      <c r="T294" s="133">
        <v>42804</v>
      </c>
      <c r="U294" s="92" t="s">
        <v>1240</v>
      </c>
      <c r="V294" s="122">
        <v>1200</v>
      </c>
      <c r="W294" s="122">
        <v>14050</v>
      </c>
      <c r="X294" s="113">
        <v>19880</v>
      </c>
      <c r="Y294" s="122">
        <v>14056</v>
      </c>
      <c r="Z294" s="113">
        <v>11872.82</v>
      </c>
      <c r="AA294" s="113">
        <v>8007.18</v>
      </c>
      <c r="AB294" s="113">
        <v>552.24</v>
      </c>
      <c r="AC294" s="122">
        <v>54260</v>
      </c>
      <c r="AD294" s="113">
        <v>138.06</v>
      </c>
      <c r="AE294" s="122" t="s">
        <v>433</v>
      </c>
      <c r="AF294" s="92"/>
      <c r="AG294" s="92"/>
      <c r="AH294" s="92" t="s">
        <v>2</v>
      </c>
      <c r="AI294" s="92" t="s">
        <v>1785</v>
      </c>
      <c r="AJ294" s="92" t="s">
        <v>1787</v>
      </c>
      <c r="AK294" s="92" t="s">
        <v>1779</v>
      </c>
      <c r="AL294" s="92">
        <v>0</v>
      </c>
      <c r="AM294" s="92">
        <v>0</v>
      </c>
    </row>
    <row r="295" spans="2:39">
      <c r="B295" s="122">
        <v>2149</v>
      </c>
      <c r="C295" s="132">
        <v>177912</v>
      </c>
      <c r="D295" s="122" t="s">
        <v>433</v>
      </c>
      <c r="E295" s="92" t="s">
        <v>1626</v>
      </c>
      <c r="F295" t="s">
        <v>382</v>
      </c>
      <c r="I295" s="122">
        <v>5</v>
      </c>
      <c r="J295" s="92"/>
      <c r="K295" s="122">
        <v>0</v>
      </c>
      <c r="L295" s="92" t="s">
        <v>1241</v>
      </c>
      <c r="M295" s="92"/>
      <c r="N295" s="92" t="s">
        <v>646</v>
      </c>
      <c r="O295" s="92" t="s">
        <v>1789</v>
      </c>
      <c r="P295" s="92"/>
      <c r="Q295" s="92" t="s">
        <v>1818</v>
      </c>
      <c r="R295" s="92" t="s">
        <v>1791</v>
      </c>
      <c r="S295" s="133">
        <v>42804</v>
      </c>
      <c r="T295" s="133">
        <v>42804</v>
      </c>
      <c r="U295" s="92" t="s">
        <v>1240</v>
      </c>
      <c r="V295" s="122">
        <v>1200</v>
      </c>
      <c r="W295" s="122">
        <v>14050</v>
      </c>
      <c r="X295" s="113">
        <v>2240</v>
      </c>
      <c r="Y295" s="122">
        <v>14056</v>
      </c>
      <c r="Z295" s="113">
        <v>1337.82</v>
      </c>
      <c r="AA295" s="113">
        <v>902.18000000000006</v>
      </c>
      <c r="AB295" s="113">
        <v>62.24</v>
      </c>
      <c r="AC295" s="122">
        <v>54260</v>
      </c>
      <c r="AD295" s="113">
        <v>15.56</v>
      </c>
      <c r="AE295" s="122" t="s">
        <v>433</v>
      </c>
      <c r="AF295" s="92"/>
      <c r="AG295" s="92"/>
      <c r="AH295" s="92" t="s">
        <v>2</v>
      </c>
      <c r="AI295" s="92" t="s">
        <v>1785</v>
      </c>
      <c r="AJ295" s="92" t="s">
        <v>1787</v>
      </c>
      <c r="AK295" s="92" t="s">
        <v>1779</v>
      </c>
      <c r="AL295" s="92">
        <v>0</v>
      </c>
      <c r="AM295" s="92">
        <v>0</v>
      </c>
    </row>
    <row r="296" spans="2:39">
      <c r="B296" s="122">
        <v>2149</v>
      </c>
      <c r="C296" s="132">
        <v>177911</v>
      </c>
      <c r="D296" s="122" t="s">
        <v>433</v>
      </c>
      <c r="E296" s="92" t="s">
        <v>1626</v>
      </c>
      <c r="F296" t="s">
        <v>1242</v>
      </c>
      <c r="I296" s="122">
        <v>36</v>
      </c>
      <c r="J296" s="92"/>
      <c r="K296" s="122">
        <v>0</v>
      </c>
      <c r="L296" s="92" t="s">
        <v>1241</v>
      </c>
      <c r="M296" s="92"/>
      <c r="N296" s="92" t="s">
        <v>646</v>
      </c>
      <c r="O296" s="92" t="s">
        <v>1789</v>
      </c>
      <c r="P296" s="92"/>
      <c r="Q296" s="92" t="s">
        <v>1790</v>
      </c>
      <c r="R296" s="92" t="s">
        <v>1791</v>
      </c>
      <c r="S296" s="133">
        <v>42804</v>
      </c>
      <c r="T296" s="133">
        <v>42804</v>
      </c>
      <c r="U296" s="92" t="s">
        <v>1240</v>
      </c>
      <c r="V296" s="122">
        <v>1200</v>
      </c>
      <c r="W296" s="122">
        <v>14050</v>
      </c>
      <c r="X296" s="113">
        <v>16560</v>
      </c>
      <c r="Y296" s="122">
        <v>14056</v>
      </c>
      <c r="Z296" s="113">
        <v>9890</v>
      </c>
      <c r="AA296" s="113">
        <v>6670</v>
      </c>
      <c r="AB296" s="113">
        <v>460</v>
      </c>
      <c r="AC296" s="122">
        <v>54260</v>
      </c>
      <c r="AD296" s="113">
        <v>115</v>
      </c>
      <c r="AE296" s="122" t="s">
        <v>433</v>
      </c>
      <c r="AF296" s="92"/>
      <c r="AG296" s="92"/>
      <c r="AH296" s="92" t="s">
        <v>2</v>
      </c>
      <c r="AI296" s="92" t="s">
        <v>1785</v>
      </c>
      <c r="AJ296" s="92" t="s">
        <v>1787</v>
      </c>
      <c r="AK296" s="92" t="s">
        <v>1779</v>
      </c>
      <c r="AL296" s="92">
        <v>0</v>
      </c>
      <c r="AM296" s="92">
        <v>0</v>
      </c>
    </row>
    <row r="297" spans="2:39">
      <c r="B297" s="122">
        <v>2149</v>
      </c>
      <c r="C297" s="132">
        <v>174777</v>
      </c>
      <c r="D297" s="122">
        <v>174774</v>
      </c>
      <c r="E297" s="92" t="s">
        <v>1626</v>
      </c>
      <c r="F297" t="s">
        <v>399</v>
      </c>
      <c r="I297" s="122">
        <v>1</v>
      </c>
      <c r="J297" s="92"/>
      <c r="K297" s="122">
        <v>0</v>
      </c>
      <c r="L297" s="92" t="s">
        <v>1239</v>
      </c>
      <c r="M297" s="92"/>
      <c r="N297" s="92" t="s">
        <v>1788</v>
      </c>
      <c r="O297" s="92" t="s">
        <v>1789</v>
      </c>
      <c r="P297" s="92" t="s">
        <v>683</v>
      </c>
      <c r="Q297" s="92"/>
      <c r="R297" s="92"/>
      <c r="S297" s="133">
        <v>42577</v>
      </c>
      <c r="T297" s="133">
        <v>42577</v>
      </c>
      <c r="U297" s="92" t="s">
        <v>1238</v>
      </c>
      <c r="V297" s="122">
        <v>300</v>
      </c>
      <c r="W297" s="122">
        <v>14040</v>
      </c>
      <c r="X297" s="113">
        <v>25528.62</v>
      </c>
      <c r="Y297" s="122">
        <v>14046</v>
      </c>
      <c r="Z297" s="113">
        <v>25528.62</v>
      </c>
      <c r="AA297" s="113">
        <v>0</v>
      </c>
      <c r="AB297" s="113">
        <v>0</v>
      </c>
      <c r="AC297" s="122">
        <v>51260</v>
      </c>
      <c r="AD297" s="113">
        <v>0</v>
      </c>
      <c r="AE297" s="122" t="s">
        <v>433</v>
      </c>
      <c r="AF297" s="92"/>
      <c r="AG297" s="92"/>
      <c r="AH297" s="92" t="s">
        <v>2</v>
      </c>
      <c r="AI297" s="92" t="s">
        <v>1785</v>
      </c>
      <c r="AJ297" s="92" t="s">
        <v>1787</v>
      </c>
      <c r="AK297" s="92" t="s">
        <v>1779</v>
      </c>
      <c r="AL297" s="92">
        <v>0</v>
      </c>
      <c r="AM297" s="92">
        <v>0</v>
      </c>
    </row>
    <row r="298" spans="2:39">
      <c r="B298" s="122">
        <v>2149</v>
      </c>
      <c r="C298" s="132">
        <v>174776</v>
      </c>
      <c r="D298" s="122">
        <v>174774</v>
      </c>
      <c r="E298" s="92" t="s">
        <v>1626</v>
      </c>
      <c r="F298" t="s">
        <v>429</v>
      </c>
      <c r="I298" s="122">
        <v>1</v>
      </c>
      <c r="J298" s="92" t="s">
        <v>595</v>
      </c>
      <c r="K298" s="122">
        <v>2008</v>
      </c>
      <c r="L298" s="92"/>
      <c r="M298" s="92"/>
      <c r="N298" s="92" t="s">
        <v>1788</v>
      </c>
      <c r="O298" s="92" t="s">
        <v>1789</v>
      </c>
      <c r="P298" s="92" t="s">
        <v>683</v>
      </c>
      <c r="Q298" s="92"/>
      <c r="R298" s="92"/>
      <c r="S298" s="133">
        <v>39448</v>
      </c>
      <c r="T298" s="133">
        <v>39448</v>
      </c>
      <c r="U298" s="92" t="s">
        <v>1235</v>
      </c>
      <c r="V298" s="122">
        <v>911</v>
      </c>
      <c r="W298" s="122">
        <v>14040</v>
      </c>
      <c r="X298" s="113">
        <v>96133.02</v>
      </c>
      <c r="Y298" s="122">
        <v>14046</v>
      </c>
      <c r="Z298" s="113">
        <v>96133.02</v>
      </c>
      <c r="AA298" s="113">
        <v>0</v>
      </c>
      <c r="AB298" s="113">
        <v>0</v>
      </c>
      <c r="AC298" s="122">
        <v>51260</v>
      </c>
      <c r="AD298" s="113">
        <v>0</v>
      </c>
      <c r="AE298" s="122" t="s">
        <v>433</v>
      </c>
      <c r="AF298" s="92">
        <v>0</v>
      </c>
      <c r="AG298" s="92">
        <v>812</v>
      </c>
      <c r="AH298" s="92" t="s">
        <v>2</v>
      </c>
      <c r="AI298" s="92" t="s">
        <v>1785</v>
      </c>
      <c r="AJ298" s="92" t="s">
        <v>1787</v>
      </c>
      <c r="AK298" s="92" t="s">
        <v>1779</v>
      </c>
      <c r="AL298" s="92">
        <v>0</v>
      </c>
      <c r="AM298" s="92">
        <v>0</v>
      </c>
    </row>
    <row r="299" spans="2:39">
      <c r="B299" s="122">
        <v>2149</v>
      </c>
      <c r="C299" s="132">
        <v>174775</v>
      </c>
      <c r="D299" s="122">
        <v>174774</v>
      </c>
      <c r="E299" s="92" t="s">
        <v>1626</v>
      </c>
      <c r="F299" t="s">
        <v>1237</v>
      </c>
      <c r="I299" s="122">
        <v>1</v>
      </c>
      <c r="J299" s="92" t="s">
        <v>595</v>
      </c>
      <c r="K299" s="122">
        <v>2008</v>
      </c>
      <c r="L299" s="92"/>
      <c r="M299" s="92"/>
      <c r="N299" s="92" t="s">
        <v>1788</v>
      </c>
      <c r="O299" s="92" t="s">
        <v>1789</v>
      </c>
      <c r="P299" s="92" t="s">
        <v>683</v>
      </c>
      <c r="Q299" s="92"/>
      <c r="R299" s="92"/>
      <c r="S299" s="133">
        <v>39399</v>
      </c>
      <c r="T299" s="133">
        <v>39399</v>
      </c>
      <c r="U299" s="92" t="s">
        <v>1235</v>
      </c>
      <c r="V299" s="122">
        <v>1000</v>
      </c>
      <c r="W299" s="122">
        <v>14040</v>
      </c>
      <c r="X299" s="113">
        <v>861.33</v>
      </c>
      <c r="Y299" s="122">
        <v>14046</v>
      </c>
      <c r="Z299" s="113">
        <v>861.33</v>
      </c>
      <c r="AA299" s="113">
        <v>0</v>
      </c>
      <c r="AB299" s="113">
        <v>0</v>
      </c>
      <c r="AC299" s="122">
        <v>51260</v>
      </c>
      <c r="AD299" s="113">
        <v>0</v>
      </c>
      <c r="AE299" s="122" t="s">
        <v>433</v>
      </c>
      <c r="AF299" s="92"/>
      <c r="AG299" s="92"/>
      <c r="AH299" s="92" t="s">
        <v>2</v>
      </c>
      <c r="AI299" s="92" t="s">
        <v>1785</v>
      </c>
      <c r="AJ299" s="92" t="s">
        <v>1787</v>
      </c>
      <c r="AK299" s="92" t="s">
        <v>1779</v>
      </c>
      <c r="AL299" s="92">
        <v>0</v>
      </c>
      <c r="AM299" s="92">
        <v>0</v>
      </c>
    </row>
    <row r="300" spans="2:39">
      <c r="B300" s="122">
        <v>2149</v>
      </c>
      <c r="C300" s="132">
        <v>174774</v>
      </c>
      <c r="D300" s="122" t="s">
        <v>433</v>
      </c>
      <c r="E300" s="92" t="s">
        <v>1626</v>
      </c>
      <c r="F300" t="s">
        <v>1236</v>
      </c>
      <c r="I300" s="122">
        <v>1</v>
      </c>
      <c r="J300" s="92" t="s">
        <v>595</v>
      </c>
      <c r="K300" s="122">
        <v>2008</v>
      </c>
      <c r="L300" s="92" t="s">
        <v>1146</v>
      </c>
      <c r="M300" s="92" t="s">
        <v>908</v>
      </c>
      <c r="N300" s="92" t="s">
        <v>1788</v>
      </c>
      <c r="O300" s="92" t="s">
        <v>1789</v>
      </c>
      <c r="P300" s="92" t="s">
        <v>1814</v>
      </c>
      <c r="Q300" s="92"/>
      <c r="R300" s="92"/>
      <c r="S300" s="133">
        <v>39391</v>
      </c>
      <c r="T300" s="133">
        <v>39391</v>
      </c>
      <c r="U300" s="92" t="s">
        <v>1235</v>
      </c>
      <c r="V300" s="122">
        <v>1000</v>
      </c>
      <c r="W300" s="122">
        <v>14040</v>
      </c>
      <c r="X300" s="113">
        <v>128398.25</v>
      </c>
      <c r="Y300" s="122">
        <v>14046</v>
      </c>
      <c r="Z300" s="113">
        <v>128398.25</v>
      </c>
      <c r="AA300" s="113">
        <v>0</v>
      </c>
      <c r="AB300" s="113">
        <v>0</v>
      </c>
      <c r="AC300" s="122">
        <v>51260</v>
      </c>
      <c r="AD300" s="113">
        <v>0</v>
      </c>
      <c r="AE300" s="122" t="s">
        <v>433</v>
      </c>
      <c r="AF300" s="92">
        <v>0</v>
      </c>
      <c r="AG300" s="92">
        <v>16</v>
      </c>
      <c r="AH300" s="92" t="s">
        <v>2</v>
      </c>
      <c r="AI300" s="92" t="s">
        <v>1785</v>
      </c>
      <c r="AJ300" s="92" t="s">
        <v>1787</v>
      </c>
      <c r="AK300" s="92" t="s">
        <v>1779</v>
      </c>
      <c r="AL300" s="92">
        <v>0</v>
      </c>
      <c r="AM300" s="92">
        <v>0</v>
      </c>
    </row>
    <row r="301" spans="2:39">
      <c r="B301" s="122">
        <v>2149</v>
      </c>
      <c r="C301" s="132">
        <v>174663</v>
      </c>
      <c r="D301" s="122">
        <v>174656</v>
      </c>
      <c r="E301" s="92" t="s">
        <v>1626</v>
      </c>
      <c r="F301" t="s">
        <v>1233</v>
      </c>
      <c r="I301" s="122">
        <v>1</v>
      </c>
      <c r="J301" s="92"/>
      <c r="K301" s="122">
        <v>2000</v>
      </c>
      <c r="L301" s="92"/>
      <c r="M301" s="92"/>
      <c r="N301" s="92" t="s">
        <v>1788</v>
      </c>
      <c r="O301" s="92" t="s">
        <v>1789</v>
      </c>
      <c r="P301" s="92" t="s">
        <v>683</v>
      </c>
      <c r="Q301" s="92"/>
      <c r="R301" s="92"/>
      <c r="S301" s="133">
        <v>38205</v>
      </c>
      <c r="T301" s="133">
        <v>38205</v>
      </c>
      <c r="U301" s="92"/>
      <c r="V301" s="122">
        <v>300</v>
      </c>
      <c r="W301" s="122">
        <v>14040</v>
      </c>
      <c r="X301" s="113">
        <v>19279.099999999999</v>
      </c>
      <c r="Y301" s="122">
        <v>14046</v>
      </c>
      <c r="Z301" s="113">
        <v>19279.099999999999</v>
      </c>
      <c r="AA301" s="113">
        <v>0</v>
      </c>
      <c r="AB301" s="113">
        <v>0</v>
      </c>
      <c r="AC301" s="122">
        <v>51260</v>
      </c>
      <c r="AD301" s="113">
        <v>0</v>
      </c>
      <c r="AE301" s="122" t="s">
        <v>433</v>
      </c>
      <c r="AF301" s="92">
        <v>0</v>
      </c>
      <c r="AG301" s="92">
        <v>349</v>
      </c>
      <c r="AH301" s="92" t="s">
        <v>2</v>
      </c>
      <c r="AI301" s="92" t="s">
        <v>1785</v>
      </c>
      <c r="AJ301" s="92" t="s">
        <v>1787</v>
      </c>
      <c r="AK301" s="92" t="s">
        <v>1779</v>
      </c>
      <c r="AL301" s="92">
        <v>0</v>
      </c>
      <c r="AM301" s="92">
        <v>0</v>
      </c>
    </row>
    <row r="302" spans="2:39">
      <c r="B302" s="122">
        <v>2149</v>
      </c>
      <c r="C302" s="132">
        <v>174662</v>
      </c>
      <c r="D302" s="122">
        <v>174656</v>
      </c>
      <c r="E302" s="92" t="s">
        <v>1626</v>
      </c>
      <c r="F302" t="s">
        <v>1234</v>
      </c>
      <c r="I302" s="122">
        <v>1</v>
      </c>
      <c r="J302" s="92"/>
      <c r="K302" s="122">
        <v>2000</v>
      </c>
      <c r="L302" s="92"/>
      <c r="M302" s="92"/>
      <c r="N302" s="92" t="s">
        <v>1788</v>
      </c>
      <c r="O302" s="92" t="s">
        <v>1789</v>
      </c>
      <c r="P302" s="92" t="s">
        <v>683</v>
      </c>
      <c r="Q302" s="92"/>
      <c r="R302" s="92"/>
      <c r="S302" s="133">
        <v>38260</v>
      </c>
      <c r="T302" s="133">
        <v>38260</v>
      </c>
      <c r="U302" s="92"/>
      <c r="V302" s="122">
        <v>300</v>
      </c>
      <c r="W302" s="122">
        <v>14040</v>
      </c>
      <c r="X302" s="113">
        <v>156.86000000000001</v>
      </c>
      <c r="Y302" s="122">
        <v>14046</v>
      </c>
      <c r="Z302" s="113">
        <v>156.86000000000001</v>
      </c>
      <c r="AA302" s="113">
        <v>0</v>
      </c>
      <c r="AB302" s="113">
        <v>0</v>
      </c>
      <c r="AC302" s="122">
        <v>51260</v>
      </c>
      <c r="AD302" s="113">
        <v>0</v>
      </c>
      <c r="AE302" s="122" t="s">
        <v>433</v>
      </c>
      <c r="AF302" s="92">
        <v>0</v>
      </c>
      <c r="AG302" s="92">
        <v>349</v>
      </c>
      <c r="AH302" s="92" t="s">
        <v>2</v>
      </c>
      <c r="AI302" s="92" t="s">
        <v>1785</v>
      </c>
      <c r="AJ302" s="92" t="s">
        <v>1787</v>
      </c>
      <c r="AK302" s="92" t="s">
        <v>1779</v>
      </c>
      <c r="AL302" s="92">
        <v>0</v>
      </c>
      <c r="AM302" s="92">
        <v>0</v>
      </c>
    </row>
    <row r="303" spans="2:39">
      <c r="B303" s="122">
        <v>2149</v>
      </c>
      <c r="C303" s="132">
        <v>174661</v>
      </c>
      <c r="D303" s="122">
        <v>174656</v>
      </c>
      <c r="E303" s="92" t="s">
        <v>1626</v>
      </c>
      <c r="F303" t="s">
        <v>1234</v>
      </c>
      <c r="I303" s="122">
        <v>1</v>
      </c>
      <c r="J303" s="92"/>
      <c r="K303" s="122">
        <v>2000</v>
      </c>
      <c r="L303" s="92"/>
      <c r="M303" s="92"/>
      <c r="N303" s="92" t="s">
        <v>1788</v>
      </c>
      <c r="O303" s="92" t="s">
        <v>1789</v>
      </c>
      <c r="P303" s="92" t="s">
        <v>683</v>
      </c>
      <c r="Q303" s="92"/>
      <c r="R303" s="92"/>
      <c r="S303" s="133">
        <v>38230</v>
      </c>
      <c r="T303" s="133">
        <v>38230</v>
      </c>
      <c r="U303" s="92"/>
      <c r="V303" s="122">
        <v>300</v>
      </c>
      <c r="W303" s="122">
        <v>14040</v>
      </c>
      <c r="X303" s="113">
        <v>1465.21</v>
      </c>
      <c r="Y303" s="122">
        <v>14046</v>
      </c>
      <c r="Z303" s="113">
        <v>1465.21</v>
      </c>
      <c r="AA303" s="113">
        <v>0</v>
      </c>
      <c r="AB303" s="113">
        <v>0</v>
      </c>
      <c r="AC303" s="122">
        <v>51260</v>
      </c>
      <c r="AD303" s="113">
        <v>0</v>
      </c>
      <c r="AE303" s="122" t="s">
        <v>433</v>
      </c>
      <c r="AF303" s="92">
        <v>0</v>
      </c>
      <c r="AG303" s="92">
        <v>349</v>
      </c>
      <c r="AH303" s="92" t="s">
        <v>2</v>
      </c>
      <c r="AI303" s="92" t="s">
        <v>1785</v>
      </c>
      <c r="AJ303" s="92" t="s">
        <v>1787</v>
      </c>
      <c r="AK303" s="92" t="s">
        <v>1779</v>
      </c>
      <c r="AL303" s="92">
        <v>0</v>
      </c>
      <c r="AM303" s="92">
        <v>0</v>
      </c>
    </row>
    <row r="304" spans="2:39">
      <c r="B304" s="122">
        <v>2149</v>
      </c>
      <c r="C304" s="132">
        <v>174660</v>
      </c>
      <c r="D304" s="122">
        <v>174656</v>
      </c>
      <c r="E304" s="92" t="s">
        <v>1626</v>
      </c>
      <c r="F304" t="s">
        <v>1233</v>
      </c>
      <c r="I304" s="122">
        <v>1</v>
      </c>
      <c r="J304" s="92"/>
      <c r="K304" s="122">
        <v>2000</v>
      </c>
      <c r="L304" s="92"/>
      <c r="M304" s="92"/>
      <c r="N304" s="92" t="s">
        <v>1788</v>
      </c>
      <c r="O304" s="92" t="s">
        <v>1789</v>
      </c>
      <c r="P304" s="92" t="s">
        <v>683</v>
      </c>
      <c r="Q304" s="92"/>
      <c r="R304" s="92"/>
      <c r="S304" s="133">
        <v>38251</v>
      </c>
      <c r="T304" s="133">
        <v>38251</v>
      </c>
      <c r="U304" s="92"/>
      <c r="V304" s="122">
        <v>300</v>
      </c>
      <c r="W304" s="122">
        <v>14040</v>
      </c>
      <c r="X304" s="113">
        <v>2064</v>
      </c>
      <c r="Y304" s="122">
        <v>14046</v>
      </c>
      <c r="Z304" s="113">
        <v>2064</v>
      </c>
      <c r="AA304" s="113">
        <v>0</v>
      </c>
      <c r="AB304" s="113">
        <v>0</v>
      </c>
      <c r="AC304" s="122">
        <v>51260</v>
      </c>
      <c r="AD304" s="113">
        <v>0</v>
      </c>
      <c r="AE304" s="122" t="s">
        <v>433</v>
      </c>
      <c r="AF304" s="92">
        <v>0</v>
      </c>
      <c r="AG304" s="92">
        <v>349</v>
      </c>
      <c r="AH304" s="92" t="s">
        <v>2</v>
      </c>
      <c r="AI304" s="92" t="s">
        <v>1785</v>
      </c>
      <c r="AJ304" s="92" t="s">
        <v>1787</v>
      </c>
      <c r="AK304" s="92" t="s">
        <v>1779</v>
      </c>
      <c r="AL304" s="92">
        <v>0</v>
      </c>
      <c r="AM304" s="92">
        <v>0</v>
      </c>
    </row>
    <row r="305" spans="2:39">
      <c r="B305" s="122">
        <v>2149</v>
      </c>
      <c r="C305" s="132">
        <v>174659</v>
      </c>
      <c r="D305" s="122">
        <v>174656</v>
      </c>
      <c r="E305" s="92" t="s">
        <v>1626</v>
      </c>
      <c r="F305" t="s">
        <v>1232</v>
      </c>
      <c r="I305" s="122">
        <v>1</v>
      </c>
      <c r="J305" s="92"/>
      <c r="K305" s="122">
        <v>0</v>
      </c>
      <c r="L305" s="92"/>
      <c r="M305" s="92"/>
      <c r="N305" s="92" t="s">
        <v>1788</v>
      </c>
      <c r="O305" s="92" t="s">
        <v>1789</v>
      </c>
      <c r="P305" s="92" t="s">
        <v>683</v>
      </c>
      <c r="Q305" s="92"/>
      <c r="R305" s="92"/>
      <c r="S305" s="133">
        <v>41157</v>
      </c>
      <c r="T305" s="133">
        <v>41157</v>
      </c>
      <c r="U305" s="92" t="s">
        <v>1230</v>
      </c>
      <c r="V305" s="122">
        <v>300</v>
      </c>
      <c r="W305" s="122">
        <v>14040</v>
      </c>
      <c r="X305" s="113">
        <v>25500</v>
      </c>
      <c r="Y305" s="122">
        <v>14046</v>
      </c>
      <c r="Z305" s="113">
        <v>25500</v>
      </c>
      <c r="AA305" s="113">
        <v>0</v>
      </c>
      <c r="AB305" s="113">
        <v>0</v>
      </c>
      <c r="AC305" s="122">
        <v>51260</v>
      </c>
      <c r="AD305" s="113">
        <v>0</v>
      </c>
      <c r="AE305" s="122" t="s">
        <v>433</v>
      </c>
      <c r="AF305" s="92"/>
      <c r="AG305" s="92"/>
      <c r="AH305" s="92" t="s">
        <v>2</v>
      </c>
      <c r="AI305" s="92" t="s">
        <v>1785</v>
      </c>
      <c r="AJ305" s="92" t="s">
        <v>1787</v>
      </c>
      <c r="AK305" s="92" t="s">
        <v>1779</v>
      </c>
      <c r="AL305" s="92">
        <v>0</v>
      </c>
      <c r="AM305" s="92">
        <v>0</v>
      </c>
    </row>
    <row r="306" spans="2:39">
      <c r="B306" s="122">
        <v>2149</v>
      </c>
      <c r="C306" s="132">
        <v>174658</v>
      </c>
      <c r="D306" s="122">
        <v>174656</v>
      </c>
      <c r="E306" s="92" t="s">
        <v>1626</v>
      </c>
      <c r="F306" t="s">
        <v>1231</v>
      </c>
      <c r="I306" s="122">
        <v>1</v>
      </c>
      <c r="J306" s="92"/>
      <c r="K306" s="122">
        <v>0</v>
      </c>
      <c r="L306" s="92"/>
      <c r="M306" s="92"/>
      <c r="N306" s="92" t="s">
        <v>1788</v>
      </c>
      <c r="O306" s="92" t="s">
        <v>1789</v>
      </c>
      <c r="P306" s="92" t="s">
        <v>683</v>
      </c>
      <c r="Q306" s="92"/>
      <c r="R306" s="92"/>
      <c r="S306" s="133">
        <v>41157</v>
      </c>
      <c r="T306" s="133">
        <v>41157</v>
      </c>
      <c r="U306" s="92" t="s">
        <v>1230</v>
      </c>
      <c r="V306" s="122">
        <v>300</v>
      </c>
      <c r="W306" s="122">
        <v>14040</v>
      </c>
      <c r="X306" s="113">
        <v>10263.469999999999</v>
      </c>
      <c r="Y306" s="122">
        <v>14046</v>
      </c>
      <c r="Z306" s="113">
        <v>10263.469999999999</v>
      </c>
      <c r="AA306" s="113">
        <v>0</v>
      </c>
      <c r="AB306" s="113">
        <v>0</v>
      </c>
      <c r="AC306" s="122">
        <v>51260</v>
      </c>
      <c r="AD306" s="113">
        <v>0</v>
      </c>
      <c r="AE306" s="122" t="s">
        <v>433</v>
      </c>
      <c r="AF306" s="92"/>
      <c r="AG306" s="92"/>
      <c r="AH306" s="92" t="s">
        <v>2</v>
      </c>
      <c r="AI306" s="92" t="s">
        <v>1785</v>
      </c>
      <c r="AJ306" s="92" t="s">
        <v>1787</v>
      </c>
      <c r="AK306" s="92" t="s">
        <v>1779</v>
      </c>
      <c r="AL306" s="92">
        <v>0</v>
      </c>
      <c r="AM306" s="92">
        <v>0</v>
      </c>
    </row>
    <row r="307" spans="2:39">
      <c r="B307" s="122">
        <v>2149</v>
      </c>
      <c r="C307" s="132">
        <v>174657</v>
      </c>
      <c r="D307" s="122">
        <v>174656</v>
      </c>
      <c r="E307" s="92" t="s">
        <v>1626</v>
      </c>
      <c r="F307" t="s">
        <v>416</v>
      </c>
      <c r="I307" s="122">
        <v>1</v>
      </c>
      <c r="J307" s="92" t="s">
        <v>597</v>
      </c>
      <c r="K307" s="122">
        <v>2000</v>
      </c>
      <c r="L307" s="92" t="s">
        <v>1146</v>
      </c>
      <c r="M307" s="92" t="s">
        <v>722</v>
      </c>
      <c r="N307" s="92" t="s">
        <v>1788</v>
      </c>
      <c r="O307" s="92" t="s">
        <v>1789</v>
      </c>
      <c r="P307" s="92" t="s">
        <v>1009</v>
      </c>
      <c r="Q307" s="92"/>
      <c r="R307" s="92"/>
      <c r="S307" s="133">
        <v>38100</v>
      </c>
      <c r="T307" s="133">
        <v>38100</v>
      </c>
      <c r="U307" s="92"/>
      <c r="V307" s="122">
        <v>300</v>
      </c>
      <c r="W307" s="122">
        <v>14040</v>
      </c>
      <c r="X307" s="113">
        <v>35000</v>
      </c>
      <c r="Y307" s="122">
        <v>14046</v>
      </c>
      <c r="Z307" s="113">
        <v>35000</v>
      </c>
      <c r="AA307" s="113">
        <v>0</v>
      </c>
      <c r="AB307" s="113">
        <v>0</v>
      </c>
      <c r="AC307" s="122">
        <v>51260</v>
      </c>
      <c r="AD307" s="113">
        <v>0</v>
      </c>
      <c r="AE307" s="122" t="s">
        <v>663</v>
      </c>
      <c r="AF307" s="92" t="s">
        <v>1228</v>
      </c>
      <c r="AG307" s="92">
        <v>349</v>
      </c>
      <c r="AH307" s="92" t="s">
        <v>2</v>
      </c>
      <c r="AI307" s="92" t="s">
        <v>1785</v>
      </c>
      <c r="AJ307" s="92" t="s">
        <v>1787</v>
      </c>
      <c r="AK307" s="92" t="s">
        <v>1779</v>
      </c>
      <c r="AL307" s="92">
        <v>0</v>
      </c>
      <c r="AM307" s="92">
        <v>0</v>
      </c>
    </row>
    <row r="308" spans="2:39">
      <c r="B308" s="122">
        <v>2149</v>
      </c>
      <c r="C308" s="132">
        <v>174656</v>
      </c>
      <c r="D308" s="122" t="s">
        <v>433</v>
      </c>
      <c r="E308" s="92" t="s">
        <v>1626</v>
      </c>
      <c r="F308" t="s">
        <v>1229</v>
      </c>
      <c r="I308" s="122">
        <v>1</v>
      </c>
      <c r="J308" s="92" t="s">
        <v>597</v>
      </c>
      <c r="K308" s="122">
        <v>2000</v>
      </c>
      <c r="L308" s="92" t="s">
        <v>724</v>
      </c>
      <c r="M308" s="92" t="s">
        <v>578</v>
      </c>
      <c r="N308" s="92" t="s">
        <v>1788</v>
      </c>
      <c r="O308" s="92" t="s">
        <v>1789</v>
      </c>
      <c r="P308" s="92" t="s">
        <v>1009</v>
      </c>
      <c r="Q308" s="92"/>
      <c r="R308" s="92"/>
      <c r="S308" s="133">
        <v>38100</v>
      </c>
      <c r="T308" s="133">
        <v>38100</v>
      </c>
      <c r="U308" s="92"/>
      <c r="V308" s="122">
        <v>300</v>
      </c>
      <c r="W308" s="122">
        <v>14040</v>
      </c>
      <c r="X308" s="113">
        <v>35000</v>
      </c>
      <c r="Y308" s="122">
        <v>14046</v>
      </c>
      <c r="Z308" s="113">
        <v>35000</v>
      </c>
      <c r="AA308" s="113">
        <v>0</v>
      </c>
      <c r="AB308" s="113">
        <v>0</v>
      </c>
      <c r="AC308" s="122">
        <v>51260</v>
      </c>
      <c r="AD308" s="113">
        <v>0</v>
      </c>
      <c r="AE308" s="122" t="s">
        <v>663</v>
      </c>
      <c r="AF308" s="92" t="s">
        <v>1228</v>
      </c>
      <c r="AG308" s="92">
        <v>18</v>
      </c>
      <c r="AH308" s="92" t="s">
        <v>2</v>
      </c>
      <c r="AI308" s="92" t="s">
        <v>1785</v>
      </c>
      <c r="AJ308" s="92" t="s">
        <v>1787</v>
      </c>
      <c r="AK308" s="92" t="s">
        <v>1779</v>
      </c>
      <c r="AL308" s="92">
        <v>0</v>
      </c>
      <c r="AM308" s="92">
        <v>0</v>
      </c>
    </row>
    <row r="309" spans="2:39">
      <c r="B309" s="122">
        <v>2149</v>
      </c>
      <c r="C309" s="132">
        <v>174341</v>
      </c>
      <c r="D309" s="122">
        <v>56939</v>
      </c>
      <c r="E309" s="92" t="s">
        <v>1626</v>
      </c>
      <c r="F309" t="s">
        <v>1227</v>
      </c>
      <c r="I309" s="122">
        <v>1</v>
      </c>
      <c r="J309" s="92"/>
      <c r="K309" s="122">
        <v>0</v>
      </c>
      <c r="L309" s="92" t="s">
        <v>699</v>
      </c>
      <c r="M309" s="92"/>
      <c r="N309" s="92" t="s">
        <v>1788</v>
      </c>
      <c r="O309" s="92" t="s">
        <v>1789</v>
      </c>
      <c r="P309" s="92" t="s">
        <v>683</v>
      </c>
      <c r="Q309" s="92"/>
      <c r="R309" s="92"/>
      <c r="S309" s="133">
        <v>42736</v>
      </c>
      <c r="T309" s="133">
        <v>42736</v>
      </c>
      <c r="U309" s="92" t="s">
        <v>1226</v>
      </c>
      <c r="V309" s="122">
        <v>300</v>
      </c>
      <c r="W309" s="122">
        <v>14040</v>
      </c>
      <c r="X309" s="113">
        <v>15393.02</v>
      </c>
      <c r="Y309" s="122">
        <v>14046</v>
      </c>
      <c r="Z309" s="113">
        <v>15393.02</v>
      </c>
      <c r="AA309" s="113">
        <v>0</v>
      </c>
      <c r="AB309" s="113">
        <v>0</v>
      </c>
      <c r="AC309" s="122">
        <v>51260</v>
      </c>
      <c r="AD309" s="113">
        <v>0</v>
      </c>
      <c r="AE309" s="122" t="s">
        <v>433</v>
      </c>
      <c r="AF309" s="92"/>
      <c r="AG309" s="92"/>
      <c r="AH309" s="92" t="s">
        <v>2</v>
      </c>
      <c r="AI309" s="92" t="s">
        <v>1785</v>
      </c>
      <c r="AJ309" s="92" t="s">
        <v>1787</v>
      </c>
      <c r="AK309" s="92" t="s">
        <v>1779</v>
      </c>
      <c r="AL309" s="92">
        <v>0</v>
      </c>
      <c r="AM309" s="92">
        <v>0</v>
      </c>
    </row>
    <row r="310" spans="2:39">
      <c r="B310" s="122">
        <v>2149</v>
      </c>
      <c r="C310" s="132">
        <v>172664</v>
      </c>
      <c r="D310" s="122" t="s">
        <v>433</v>
      </c>
      <c r="E310" s="92" t="s">
        <v>1626</v>
      </c>
      <c r="F310" t="s">
        <v>385</v>
      </c>
      <c r="I310" s="122">
        <v>4</v>
      </c>
      <c r="J310" s="92"/>
      <c r="K310" s="122">
        <v>0</v>
      </c>
      <c r="L310" s="92" t="s">
        <v>791</v>
      </c>
      <c r="M310" s="92"/>
      <c r="N310" s="92" t="s">
        <v>646</v>
      </c>
      <c r="O310" s="92" t="s">
        <v>1789</v>
      </c>
      <c r="P310" s="92"/>
      <c r="Q310" s="92" t="s">
        <v>1796</v>
      </c>
      <c r="R310" s="92" t="s">
        <v>1794</v>
      </c>
      <c r="S310" s="133">
        <v>42736</v>
      </c>
      <c r="T310" s="133">
        <v>42736</v>
      </c>
      <c r="U310" s="92" t="s">
        <v>1224</v>
      </c>
      <c r="V310" s="122">
        <v>1200</v>
      </c>
      <c r="W310" s="122">
        <v>14050</v>
      </c>
      <c r="X310" s="113">
        <v>23420</v>
      </c>
      <c r="Y310" s="122">
        <v>14056</v>
      </c>
      <c r="Z310" s="113">
        <v>14312.25</v>
      </c>
      <c r="AA310" s="113">
        <v>9107.75</v>
      </c>
      <c r="AB310" s="113">
        <v>650.55999999999995</v>
      </c>
      <c r="AC310" s="122">
        <v>54260</v>
      </c>
      <c r="AD310" s="113">
        <v>162.63999999999999</v>
      </c>
      <c r="AE310" s="122" t="s">
        <v>433</v>
      </c>
      <c r="AF310" s="92"/>
      <c r="AG310" s="92"/>
      <c r="AH310" s="92" t="s">
        <v>2</v>
      </c>
      <c r="AI310" s="92" t="s">
        <v>1785</v>
      </c>
      <c r="AJ310" s="92" t="s">
        <v>1787</v>
      </c>
      <c r="AK310" s="92" t="s">
        <v>1779</v>
      </c>
      <c r="AL310" s="92">
        <v>0</v>
      </c>
      <c r="AM310" s="92">
        <v>0</v>
      </c>
    </row>
    <row r="311" spans="2:39">
      <c r="B311" s="122">
        <v>2149</v>
      </c>
      <c r="C311" s="132">
        <v>172663</v>
      </c>
      <c r="D311" s="122" t="s">
        <v>433</v>
      </c>
      <c r="E311" s="92" t="s">
        <v>1626</v>
      </c>
      <c r="F311" t="s">
        <v>1225</v>
      </c>
      <c r="I311" s="122">
        <v>4</v>
      </c>
      <c r="J311" s="92"/>
      <c r="K311" s="122">
        <v>0</v>
      </c>
      <c r="L311" s="92" t="s">
        <v>791</v>
      </c>
      <c r="M311" s="92"/>
      <c r="N311" s="92" t="s">
        <v>646</v>
      </c>
      <c r="O311" s="92" t="s">
        <v>1789</v>
      </c>
      <c r="P311" s="92"/>
      <c r="Q311" s="92" t="s">
        <v>1793</v>
      </c>
      <c r="R311" s="92" t="s">
        <v>1794</v>
      </c>
      <c r="S311" s="133">
        <v>42736</v>
      </c>
      <c r="T311" s="133">
        <v>42736</v>
      </c>
      <c r="U311" s="92" t="s">
        <v>1224</v>
      </c>
      <c r="V311" s="122">
        <v>1200</v>
      </c>
      <c r="W311" s="122">
        <v>14050</v>
      </c>
      <c r="X311" s="113">
        <v>27792</v>
      </c>
      <c r="Y311" s="122">
        <v>14056</v>
      </c>
      <c r="Z311" s="113">
        <v>16984</v>
      </c>
      <c r="AA311" s="113">
        <v>10808</v>
      </c>
      <c r="AB311" s="113">
        <v>772</v>
      </c>
      <c r="AC311" s="122">
        <v>54260</v>
      </c>
      <c r="AD311" s="113">
        <v>193</v>
      </c>
      <c r="AE311" s="122" t="s">
        <v>433</v>
      </c>
      <c r="AF311" s="92"/>
      <c r="AG311" s="92"/>
      <c r="AH311" s="92" t="s">
        <v>2</v>
      </c>
      <c r="AI311" s="92" t="s">
        <v>1785</v>
      </c>
      <c r="AJ311" s="92" t="s">
        <v>1787</v>
      </c>
      <c r="AK311" s="92" t="s">
        <v>1779</v>
      </c>
      <c r="AL311" s="92">
        <v>0</v>
      </c>
      <c r="AM311" s="92">
        <v>0</v>
      </c>
    </row>
    <row r="312" spans="2:39">
      <c r="B312" s="122">
        <v>2149</v>
      </c>
      <c r="C312" s="132">
        <v>172613</v>
      </c>
      <c r="D312" s="122">
        <v>171238</v>
      </c>
      <c r="E312" s="92" t="s">
        <v>1626</v>
      </c>
      <c r="F312" t="s">
        <v>388</v>
      </c>
      <c r="I312" s="122">
        <v>1</v>
      </c>
      <c r="J312" s="92"/>
      <c r="K312" s="122">
        <v>0</v>
      </c>
      <c r="L312" s="92" t="s">
        <v>1223</v>
      </c>
      <c r="M312" s="92"/>
      <c r="N312" s="92" t="s">
        <v>1822</v>
      </c>
      <c r="O312" s="92" t="s">
        <v>1789</v>
      </c>
      <c r="P312" s="92"/>
      <c r="Q312" s="92"/>
      <c r="R312" s="92"/>
      <c r="S312" s="133">
        <v>42736</v>
      </c>
      <c r="T312" s="133">
        <v>42736</v>
      </c>
      <c r="U312" s="92" t="s">
        <v>1218</v>
      </c>
      <c r="V312" s="122">
        <v>911</v>
      </c>
      <c r="W312" s="122">
        <v>14010</v>
      </c>
      <c r="X312" s="113">
        <v>8492.0300000000007</v>
      </c>
      <c r="Y312" s="122">
        <v>14016</v>
      </c>
      <c r="Z312" s="113">
        <v>6279.82</v>
      </c>
      <c r="AA312" s="113">
        <v>2212.2100000000009</v>
      </c>
      <c r="AB312" s="113">
        <v>285.44</v>
      </c>
      <c r="AC312" s="122">
        <v>57260</v>
      </c>
      <c r="AD312" s="113">
        <v>71.36</v>
      </c>
      <c r="AE312" s="122" t="s">
        <v>433</v>
      </c>
      <c r="AF312" s="92"/>
      <c r="AG312" s="92"/>
      <c r="AH312" s="92" t="s">
        <v>2</v>
      </c>
      <c r="AI312" s="92" t="s">
        <v>1785</v>
      </c>
      <c r="AJ312" s="92" t="s">
        <v>1787</v>
      </c>
      <c r="AK312" s="92" t="s">
        <v>1779</v>
      </c>
      <c r="AL312" s="92">
        <v>0</v>
      </c>
      <c r="AM312" s="92">
        <v>0</v>
      </c>
    </row>
    <row r="313" spans="2:39">
      <c r="B313" s="122">
        <v>2149</v>
      </c>
      <c r="C313" s="132">
        <v>171697</v>
      </c>
      <c r="D313" s="122" t="s">
        <v>433</v>
      </c>
      <c r="E313" s="92" t="s">
        <v>1626</v>
      </c>
      <c r="F313" t="s">
        <v>354</v>
      </c>
      <c r="I313" s="122">
        <v>1</v>
      </c>
      <c r="J313" s="92"/>
      <c r="K313" s="122">
        <v>0</v>
      </c>
      <c r="L313" s="92" t="s">
        <v>1222</v>
      </c>
      <c r="M313" s="92"/>
      <c r="N313" s="92" t="s">
        <v>1798</v>
      </c>
      <c r="O313" s="92" t="s">
        <v>1789</v>
      </c>
      <c r="P313" s="92"/>
      <c r="Q313" s="92"/>
      <c r="R313" s="92"/>
      <c r="S313" s="133">
        <v>42621</v>
      </c>
      <c r="T313" s="133">
        <v>42621</v>
      </c>
      <c r="U313" s="92" t="s">
        <v>1203</v>
      </c>
      <c r="V313" s="122">
        <v>300</v>
      </c>
      <c r="W313" s="122">
        <v>14110</v>
      </c>
      <c r="X313" s="113">
        <v>7381.27</v>
      </c>
      <c r="Y313" s="122">
        <v>14116</v>
      </c>
      <c r="Z313" s="113">
        <v>7381.27</v>
      </c>
      <c r="AA313" s="113">
        <v>0</v>
      </c>
      <c r="AB313" s="113">
        <v>0</v>
      </c>
      <c r="AC313" s="122">
        <v>70260</v>
      </c>
      <c r="AD313" s="113">
        <v>0</v>
      </c>
      <c r="AE313" s="122" t="s">
        <v>433</v>
      </c>
      <c r="AF313" s="92"/>
      <c r="AG313" s="92"/>
      <c r="AH313" s="92" t="s">
        <v>2</v>
      </c>
      <c r="AI313" s="92" t="s">
        <v>1785</v>
      </c>
      <c r="AJ313" s="92" t="s">
        <v>1787</v>
      </c>
      <c r="AK313" s="92" t="s">
        <v>1779</v>
      </c>
      <c r="AL313" s="92">
        <v>0</v>
      </c>
      <c r="AM313" s="92">
        <v>0</v>
      </c>
    </row>
    <row r="314" spans="2:39">
      <c r="B314" s="122">
        <v>2149</v>
      </c>
      <c r="C314" s="132">
        <v>171239</v>
      </c>
      <c r="D314" s="122">
        <v>169283</v>
      </c>
      <c r="E314" s="92" t="s">
        <v>1626</v>
      </c>
      <c r="F314" t="s">
        <v>353</v>
      </c>
      <c r="I314" s="122">
        <v>1</v>
      </c>
      <c r="J314" s="92"/>
      <c r="K314" s="122">
        <v>0</v>
      </c>
      <c r="L314" s="92" t="s">
        <v>1221</v>
      </c>
      <c r="M314" s="92"/>
      <c r="N314" s="92" t="s">
        <v>1798</v>
      </c>
      <c r="O314" s="92" t="s">
        <v>1789</v>
      </c>
      <c r="P314" s="92"/>
      <c r="Q314" s="92"/>
      <c r="R314" s="92"/>
      <c r="S314" s="133">
        <v>42621</v>
      </c>
      <c r="T314" s="133">
        <v>42621</v>
      </c>
      <c r="U314" s="92" t="s">
        <v>1203</v>
      </c>
      <c r="V314" s="122">
        <v>300</v>
      </c>
      <c r="W314" s="122">
        <v>14110</v>
      </c>
      <c r="X314" s="113">
        <v>495</v>
      </c>
      <c r="Y314" s="122">
        <v>14116</v>
      </c>
      <c r="Z314" s="113">
        <v>495</v>
      </c>
      <c r="AA314" s="113">
        <v>0</v>
      </c>
      <c r="AB314" s="113">
        <v>0</v>
      </c>
      <c r="AC314" s="122">
        <v>70260</v>
      </c>
      <c r="AD314" s="113">
        <v>0</v>
      </c>
      <c r="AE314" s="122" t="s">
        <v>433</v>
      </c>
      <c r="AF314" s="92"/>
      <c r="AG314" s="92"/>
      <c r="AH314" s="92" t="s">
        <v>2</v>
      </c>
      <c r="AI314" s="92" t="s">
        <v>1785</v>
      </c>
      <c r="AJ314" s="92" t="s">
        <v>1787</v>
      </c>
      <c r="AK314" s="92" t="s">
        <v>1779</v>
      </c>
      <c r="AL314" s="92">
        <v>0</v>
      </c>
      <c r="AM314" s="92">
        <v>0</v>
      </c>
    </row>
    <row r="315" spans="2:39">
      <c r="B315" s="122">
        <v>2149</v>
      </c>
      <c r="C315" s="132">
        <v>171238</v>
      </c>
      <c r="D315" s="122" t="s">
        <v>433</v>
      </c>
      <c r="E315" s="92" t="s">
        <v>1626</v>
      </c>
      <c r="F315" t="s">
        <v>1220</v>
      </c>
      <c r="I315" s="122">
        <v>1</v>
      </c>
      <c r="J315" s="92"/>
      <c r="K315" s="122">
        <v>0</v>
      </c>
      <c r="L315" s="92" t="s">
        <v>1219</v>
      </c>
      <c r="M315" s="92"/>
      <c r="N315" s="92" t="s">
        <v>1822</v>
      </c>
      <c r="O315" s="92" t="s">
        <v>1789</v>
      </c>
      <c r="P315" s="92"/>
      <c r="Q315" s="92"/>
      <c r="R315" s="92"/>
      <c r="S315" s="133">
        <v>42690</v>
      </c>
      <c r="T315" s="133">
        <v>42690</v>
      </c>
      <c r="U315" s="92" t="s">
        <v>1218</v>
      </c>
      <c r="V315" s="122">
        <v>1000</v>
      </c>
      <c r="W315" s="122">
        <v>14010</v>
      </c>
      <c r="X315" s="113">
        <v>79510.149999999994</v>
      </c>
      <c r="Y315" s="122">
        <v>14016</v>
      </c>
      <c r="Z315" s="113">
        <v>58970.05</v>
      </c>
      <c r="AA315" s="113">
        <v>20540.099999999991</v>
      </c>
      <c r="AB315" s="113">
        <v>2650.32</v>
      </c>
      <c r="AC315" s="122">
        <v>57260</v>
      </c>
      <c r="AD315" s="113">
        <v>662.58</v>
      </c>
      <c r="AE315" s="122" t="s">
        <v>433</v>
      </c>
      <c r="AF315" s="92"/>
      <c r="AG315" s="92"/>
      <c r="AH315" s="92" t="s">
        <v>2</v>
      </c>
      <c r="AI315" s="92" t="s">
        <v>1785</v>
      </c>
      <c r="AJ315" s="92" t="s">
        <v>1787</v>
      </c>
      <c r="AK315" s="92" t="s">
        <v>1779</v>
      </c>
      <c r="AL315" s="92">
        <v>0</v>
      </c>
      <c r="AM315" s="92">
        <v>0</v>
      </c>
    </row>
    <row r="316" spans="2:39">
      <c r="B316" s="122">
        <v>2149</v>
      </c>
      <c r="C316" s="132">
        <v>171078</v>
      </c>
      <c r="D316" s="122" t="s">
        <v>433</v>
      </c>
      <c r="E316" s="92" t="s">
        <v>1626</v>
      </c>
      <c r="F316" t="s">
        <v>1217</v>
      </c>
      <c r="I316" s="122">
        <v>1</v>
      </c>
      <c r="J316" s="92"/>
      <c r="K316" s="122">
        <v>0</v>
      </c>
      <c r="L316" s="92" t="s">
        <v>1216</v>
      </c>
      <c r="M316" s="92"/>
      <c r="N316" s="92" t="s">
        <v>1801</v>
      </c>
      <c r="O316" s="92" t="s">
        <v>1789</v>
      </c>
      <c r="P316" s="92"/>
      <c r="Q316" s="92"/>
      <c r="R316" s="92"/>
      <c r="S316" s="133">
        <v>42716</v>
      </c>
      <c r="T316" s="133">
        <v>42716</v>
      </c>
      <c r="U316" s="92" t="s">
        <v>1215</v>
      </c>
      <c r="V316" s="122">
        <v>500</v>
      </c>
      <c r="W316" s="122">
        <v>14070</v>
      </c>
      <c r="X316" s="113">
        <v>22670.1</v>
      </c>
      <c r="Y316" s="122">
        <v>14076</v>
      </c>
      <c r="Z316" s="113">
        <v>22670.1</v>
      </c>
      <c r="AA316" s="113">
        <v>0</v>
      </c>
      <c r="AB316" s="113">
        <v>0</v>
      </c>
      <c r="AC316" s="122">
        <v>51260</v>
      </c>
      <c r="AD316" s="113">
        <v>0</v>
      </c>
      <c r="AE316" s="122" t="s">
        <v>433</v>
      </c>
      <c r="AF316" s="92"/>
      <c r="AG316" s="92"/>
      <c r="AH316" s="92" t="s">
        <v>2</v>
      </c>
      <c r="AI316" s="92" t="s">
        <v>1785</v>
      </c>
      <c r="AJ316" s="92" t="s">
        <v>1787</v>
      </c>
      <c r="AK316" s="92" t="s">
        <v>1779</v>
      </c>
      <c r="AL316" s="92">
        <v>0</v>
      </c>
      <c r="AM316" s="92">
        <v>0</v>
      </c>
    </row>
    <row r="317" spans="2:39">
      <c r="B317" s="122">
        <v>2149</v>
      </c>
      <c r="C317" s="132">
        <v>170260</v>
      </c>
      <c r="D317" s="122" t="s">
        <v>433</v>
      </c>
      <c r="E317" s="92" t="s">
        <v>1626</v>
      </c>
      <c r="F317" t="s">
        <v>352</v>
      </c>
      <c r="I317" s="122">
        <v>1</v>
      </c>
      <c r="J317" s="92" t="s">
        <v>1214</v>
      </c>
      <c r="K317" s="122">
        <v>2013</v>
      </c>
      <c r="L317" s="92" t="s">
        <v>1213</v>
      </c>
      <c r="M317" s="92" t="s">
        <v>1212</v>
      </c>
      <c r="N317" s="92" t="s">
        <v>1807</v>
      </c>
      <c r="O317" s="92" t="s">
        <v>1789</v>
      </c>
      <c r="P317" s="92" t="s">
        <v>683</v>
      </c>
      <c r="Q317" s="92"/>
      <c r="R317" s="92"/>
      <c r="S317" s="133">
        <v>42683</v>
      </c>
      <c r="T317" s="133">
        <v>42683</v>
      </c>
      <c r="U317" s="92" t="s">
        <v>1211</v>
      </c>
      <c r="V317" s="122">
        <v>600</v>
      </c>
      <c r="W317" s="122">
        <v>14030</v>
      </c>
      <c r="X317" s="113">
        <v>9792</v>
      </c>
      <c r="Y317" s="122">
        <v>14036</v>
      </c>
      <c r="Z317" s="113">
        <v>9792</v>
      </c>
      <c r="AA317" s="113">
        <v>0</v>
      </c>
      <c r="AB317" s="113">
        <v>0</v>
      </c>
      <c r="AC317" s="122">
        <v>51260</v>
      </c>
      <c r="AD317" s="113">
        <v>0</v>
      </c>
      <c r="AE317" s="122" t="s">
        <v>433</v>
      </c>
      <c r="AF317" s="92"/>
      <c r="AG317" s="92"/>
      <c r="AH317" s="92" t="s">
        <v>2</v>
      </c>
      <c r="AI317" s="92" t="s">
        <v>1785</v>
      </c>
      <c r="AJ317" s="92" t="s">
        <v>1787</v>
      </c>
      <c r="AK317" s="92" t="s">
        <v>1779</v>
      </c>
      <c r="AL317" s="92">
        <v>0</v>
      </c>
      <c r="AM317" s="92">
        <v>0</v>
      </c>
    </row>
    <row r="318" spans="2:39">
      <c r="B318" s="122">
        <v>2149</v>
      </c>
      <c r="C318" s="132">
        <v>169620</v>
      </c>
      <c r="D318" s="122" t="s">
        <v>433</v>
      </c>
      <c r="E318" s="92" t="s">
        <v>1626</v>
      </c>
      <c r="F318" t="s">
        <v>1210</v>
      </c>
      <c r="I318" s="122">
        <v>750</v>
      </c>
      <c r="J318" s="92"/>
      <c r="K318" s="122">
        <v>0</v>
      </c>
      <c r="L318" s="92" t="s">
        <v>1199</v>
      </c>
      <c r="M318" s="92"/>
      <c r="N318" s="92" t="s">
        <v>646</v>
      </c>
      <c r="O318" s="92" t="s">
        <v>1789</v>
      </c>
      <c r="P318" s="92"/>
      <c r="Q318" s="92"/>
      <c r="R318" s="92"/>
      <c r="S318" s="133">
        <v>42675</v>
      </c>
      <c r="T318" s="133">
        <v>42675</v>
      </c>
      <c r="U318" s="92" t="s">
        <v>1205</v>
      </c>
      <c r="V318" s="122">
        <v>700</v>
      </c>
      <c r="W318" s="122">
        <v>14050</v>
      </c>
      <c r="X318" s="113">
        <v>28277.81</v>
      </c>
      <c r="Y318" s="122">
        <v>14056</v>
      </c>
      <c r="Z318" s="113">
        <v>28277.81</v>
      </c>
      <c r="AA318" s="113">
        <v>0</v>
      </c>
      <c r="AB318" s="113">
        <v>0</v>
      </c>
      <c r="AC318" s="122">
        <v>54260</v>
      </c>
      <c r="AD318" s="113">
        <v>0</v>
      </c>
      <c r="AE318" s="122" t="s">
        <v>433</v>
      </c>
      <c r="AF318" s="92"/>
      <c r="AG318" s="92"/>
      <c r="AH318" s="92" t="s">
        <v>2</v>
      </c>
      <c r="AI318" s="92" t="s">
        <v>1785</v>
      </c>
      <c r="AJ318" s="92" t="s">
        <v>1787</v>
      </c>
      <c r="AK318" s="92" t="s">
        <v>1779</v>
      </c>
      <c r="AL318" s="92">
        <v>0</v>
      </c>
      <c r="AM318" s="92">
        <v>0</v>
      </c>
    </row>
    <row r="319" spans="2:39">
      <c r="B319" s="122">
        <v>2149</v>
      </c>
      <c r="C319" s="132">
        <v>169619</v>
      </c>
      <c r="D319" s="122" t="s">
        <v>433</v>
      </c>
      <c r="E319" s="92" t="s">
        <v>1626</v>
      </c>
      <c r="F319" t="s">
        <v>1210</v>
      </c>
      <c r="I319" s="122">
        <v>750</v>
      </c>
      <c r="J319" s="92"/>
      <c r="K319" s="122">
        <v>0</v>
      </c>
      <c r="L319" s="92" t="s">
        <v>1199</v>
      </c>
      <c r="M319" s="92"/>
      <c r="N319" s="92" t="s">
        <v>646</v>
      </c>
      <c r="O319" s="92" t="s">
        <v>1789</v>
      </c>
      <c r="P319" s="92"/>
      <c r="Q319" s="92"/>
      <c r="R319" s="92"/>
      <c r="S319" s="133">
        <v>42675</v>
      </c>
      <c r="T319" s="133">
        <v>42675</v>
      </c>
      <c r="U319" s="92" t="s">
        <v>1205</v>
      </c>
      <c r="V319" s="122">
        <v>700</v>
      </c>
      <c r="W319" s="122">
        <v>14050</v>
      </c>
      <c r="X319" s="113">
        <v>30402.240000000002</v>
      </c>
      <c r="Y319" s="122">
        <v>14056</v>
      </c>
      <c r="Z319" s="113">
        <v>30402.240000000002</v>
      </c>
      <c r="AA319" s="113">
        <v>0</v>
      </c>
      <c r="AB319" s="113">
        <v>0</v>
      </c>
      <c r="AC319" s="122">
        <v>54260</v>
      </c>
      <c r="AD319" s="113">
        <v>0</v>
      </c>
      <c r="AE319" s="122" t="s">
        <v>433</v>
      </c>
      <c r="AF319" s="92"/>
      <c r="AG319" s="92"/>
      <c r="AH319" s="92" t="s">
        <v>2</v>
      </c>
      <c r="AI319" s="92" t="s">
        <v>1785</v>
      </c>
      <c r="AJ319" s="92" t="s">
        <v>1787</v>
      </c>
      <c r="AK319" s="92" t="s">
        <v>1779</v>
      </c>
      <c r="AL319" s="92">
        <v>0</v>
      </c>
      <c r="AM319" s="92">
        <v>0</v>
      </c>
    </row>
    <row r="320" spans="2:39">
      <c r="B320" s="122">
        <v>2149</v>
      </c>
      <c r="C320" s="132">
        <v>169572</v>
      </c>
      <c r="D320" s="122" t="s">
        <v>433</v>
      </c>
      <c r="E320" s="92" t="s">
        <v>1626</v>
      </c>
      <c r="F320" t="s">
        <v>1209</v>
      </c>
      <c r="I320" s="122">
        <v>10</v>
      </c>
      <c r="J320" s="92"/>
      <c r="K320" s="122">
        <v>0</v>
      </c>
      <c r="L320" s="92" t="s">
        <v>1199</v>
      </c>
      <c r="M320" s="92"/>
      <c r="N320" s="92" t="s">
        <v>646</v>
      </c>
      <c r="O320" s="92" t="s">
        <v>1789</v>
      </c>
      <c r="P320" s="92"/>
      <c r="Q320" s="92"/>
      <c r="R320" s="92"/>
      <c r="S320" s="133">
        <v>42675</v>
      </c>
      <c r="T320" s="133">
        <v>42675</v>
      </c>
      <c r="U320" s="92" t="s">
        <v>1205</v>
      </c>
      <c r="V320" s="122">
        <v>700</v>
      </c>
      <c r="W320" s="122">
        <v>14050</v>
      </c>
      <c r="X320" s="113">
        <v>344.49</v>
      </c>
      <c r="Y320" s="122">
        <v>14056</v>
      </c>
      <c r="Z320" s="113">
        <v>344.49</v>
      </c>
      <c r="AA320" s="113">
        <v>0</v>
      </c>
      <c r="AB320" s="113">
        <v>0</v>
      </c>
      <c r="AC320" s="122">
        <v>54260</v>
      </c>
      <c r="AD320" s="113">
        <v>0</v>
      </c>
      <c r="AE320" s="122" t="s">
        <v>433</v>
      </c>
      <c r="AF320" s="92"/>
      <c r="AG320" s="92"/>
      <c r="AH320" s="92" t="s">
        <v>2</v>
      </c>
      <c r="AI320" s="92" t="s">
        <v>1785</v>
      </c>
      <c r="AJ320" s="92" t="s">
        <v>1787</v>
      </c>
      <c r="AK320" s="92" t="s">
        <v>1779</v>
      </c>
      <c r="AL320" s="92">
        <v>0</v>
      </c>
      <c r="AM320" s="92">
        <v>0</v>
      </c>
    </row>
    <row r="321" spans="2:39">
      <c r="B321" s="122">
        <v>2149</v>
      </c>
      <c r="C321" s="132">
        <v>169571</v>
      </c>
      <c r="D321" s="122" t="s">
        <v>433</v>
      </c>
      <c r="E321" s="92" t="s">
        <v>1626</v>
      </c>
      <c r="F321" t="s">
        <v>1208</v>
      </c>
      <c r="I321" s="122">
        <v>463</v>
      </c>
      <c r="J321" s="92"/>
      <c r="K321" s="122">
        <v>0</v>
      </c>
      <c r="L321" s="92" t="s">
        <v>1199</v>
      </c>
      <c r="M321" s="92"/>
      <c r="N321" s="92" t="s">
        <v>646</v>
      </c>
      <c r="O321" s="92" t="s">
        <v>1789</v>
      </c>
      <c r="P321" s="92"/>
      <c r="Q321" s="92"/>
      <c r="R321" s="92"/>
      <c r="S321" s="133">
        <v>42675</v>
      </c>
      <c r="T321" s="133">
        <v>42675</v>
      </c>
      <c r="U321" s="92" t="s">
        <v>1205</v>
      </c>
      <c r="V321" s="122">
        <v>700</v>
      </c>
      <c r="W321" s="122">
        <v>14050</v>
      </c>
      <c r="X321" s="113">
        <v>20560.86</v>
      </c>
      <c r="Y321" s="122">
        <v>14056</v>
      </c>
      <c r="Z321" s="113">
        <v>20560.86</v>
      </c>
      <c r="AA321" s="113">
        <v>0</v>
      </c>
      <c r="AB321" s="113">
        <v>0</v>
      </c>
      <c r="AC321" s="122">
        <v>54260</v>
      </c>
      <c r="AD321" s="113">
        <v>0</v>
      </c>
      <c r="AE321" s="122" t="s">
        <v>433</v>
      </c>
      <c r="AF321" s="92"/>
      <c r="AG321" s="92"/>
      <c r="AH321" s="92" t="s">
        <v>2</v>
      </c>
      <c r="AI321" s="92" t="s">
        <v>1785</v>
      </c>
      <c r="AJ321" s="92" t="s">
        <v>1787</v>
      </c>
      <c r="AK321" s="92" t="s">
        <v>1779</v>
      </c>
      <c r="AL321" s="92">
        <v>0</v>
      </c>
      <c r="AM321" s="92">
        <v>0</v>
      </c>
    </row>
    <row r="322" spans="2:39">
      <c r="B322" s="122">
        <v>2149</v>
      </c>
      <c r="C322" s="132">
        <v>169570</v>
      </c>
      <c r="D322" s="122" t="s">
        <v>433</v>
      </c>
      <c r="E322" s="92" t="s">
        <v>1626</v>
      </c>
      <c r="F322" t="s">
        <v>1207</v>
      </c>
      <c r="I322" s="122">
        <v>100</v>
      </c>
      <c r="J322" s="92"/>
      <c r="K322" s="122">
        <v>0</v>
      </c>
      <c r="L322" s="92" t="s">
        <v>1199</v>
      </c>
      <c r="M322" s="92"/>
      <c r="N322" s="92" t="s">
        <v>646</v>
      </c>
      <c r="O322" s="92" t="s">
        <v>1789</v>
      </c>
      <c r="P322" s="92"/>
      <c r="Q322" s="92"/>
      <c r="R322" s="92"/>
      <c r="S322" s="133">
        <v>42675</v>
      </c>
      <c r="T322" s="133">
        <v>42675</v>
      </c>
      <c r="U322" s="92" t="s">
        <v>1205</v>
      </c>
      <c r="V322" s="122">
        <v>700</v>
      </c>
      <c r="W322" s="122">
        <v>14050</v>
      </c>
      <c r="X322" s="113">
        <v>5219.6400000000003</v>
      </c>
      <c r="Y322" s="122">
        <v>14056</v>
      </c>
      <c r="Z322" s="113">
        <v>5219.6400000000003</v>
      </c>
      <c r="AA322" s="113">
        <v>0</v>
      </c>
      <c r="AB322" s="113">
        <v>0</v>
      </c>
      <c r="AC322" s="122">
        <v>54260</v>
      </c>
      <c r="AD322" s="113">
        <v>0</v>
      </c>
      <c r="AE322" s="122" t="s">
        <v>433</v>
      </c>
      <c r="AF322" s="92"/>
      <c r="AG322" s="92"/>
      <c r="AH322" s="92" t="s">
        <v>2</v>
      </c>
      <c r="AI322" s="92" t="s">
        <v>1785</v>
      </c>
      <c r="AJ322" s="92" t="s">
        <v>1787</v>
      </c>
      <c r="AK322" s="92" t="s">
        <v>1779</v>
      </c>
      <c r="AL322" s="92">
        <v>0</v>
      </c>
      <c r="AM322" s="92">
        <v>0</v>
      </c>
    </row>
    <row r="323" spans="2:39">
      <c r="B323" s="122">
        <v>2149</v>
      </c>
      <c r="C323" s="132">
        <v>169569</v>
      </c>
      <c r="D323" s="122" t="s">
        <v>433</v>
      </c>
      <c r="E323" s="92" t="s">
        <v>1626</v>
      </c>
      <c r="F323" t="s">
        <v>1206</v>
      </c>
      <c r="I323" s="122">
        <v>377</v>
      </c>
      <c r="J323" s="92"/>
      <c r="K323" s="122">
        <v>0</v>
      </c>
      <c r="L323" s="92" t="s">
        <v>1199</v>
      </c>
      <c r="M323" s="92"/>
      <c r="N323" s="92" t="s">
        <v>646</v>
      </c>
      <c r="O323" s="92" t="s">
        <v>1789</v>
      </c>
      <c r="P323" s="92"/>
      <c r="Q323" s="92"/>
      <c r="R323" s="92"/>
      <c r="S323" s="133">
        <v>42675</v>
      </c>
      <c r="T323" s="133">
        <v>42675</v>
      </c>
      <c r="U323" s="92" t="s">
        <v>1205</v>
      </c>
      <c r="V323" s="122">
        <v>700</v>
      </c>
      <c r="W323" s="122">
        <v>14050</v>
      </c>
      <c r="X323" s="113">
        <v>17324.77</v>
      </c>
      <c r="Y323" s="122">
        <v>14056</v>
      </c>
      <c r="Z323" s="113">
        <v>17324.77</v>
      </c>
      <c r="AA323" s="113">
        <v>0</v>
      </c>
      <c r="AB323" s="113">
        <v>0</v>
      </c>
      <c r="AC323" s="122">
        <v>54260</v>
      </c>
      <c r="AD323" s="113">
        <v>0</v>
      </c>
      <c r="AE323" s="122" t="s">
        <v>433</v>
      </c>
      <c r="AF323" s="92"/>
      <c r="AG323" s="92"/>
      <c r="AH323" s="92" t="s">
        <v>2</v>
      </c>
      <c r="AI323" s="92" t="s">
        <v>1785</v>
      </c>
      <c r="AJ323" s="92" t="s">
        <v>1787</v>
      </c>
      <c r="AK323" s="92" t="s">
        <v>1779</v>
      </c>
      <c r="AL323" s="92">
        <v>0</v>
      </c>
      <c r="AM323" s="92">
        <v>0</v>
      </c>
    </row>
    <row r="324" spans="2:39">
      <c r="B324" s="122">
        <v>2149</v>
      </c>
      <c r="C324" s="132">
        <v>169283</v>
      </c>
      <c r="D324" s="122" t="s">
        <v>433</v>
      </c>
      <c r="E324" s="92" t="s">
        <v>1626</v>
      </c>
      <c r="F324" t="s">
        <v>1204</v>
      </c>
      <c r="I324" s="122">
        <v>1</v>
      </c>
      <c r="J324" s="92"/>
      <c r="K324" s="122">
        <v>0</v>
      </c>
      <c r="L324" s="92" t="s">
        <v>978</v>
      </c>
      <c r="M324" s="92"/>
      <c r="N324" s="92" t="s">
        <v>1798</v>
      </c>
      <c r="O324" s="92" t="s">
        <v>1789</v>
      </c>
      <c r="P324" s="92"/>
      <c r="Q324" s="92"/>
      <c r="R324" s="92"/>
      <c r="S324" s="133">
        <v>42621</v>
      </c>
      <c r="T324" s="133">
        <v>42621</v>
      </c>
      <c r="U324" s="92" t="s">
        <v>1203</v>
      </c>
      <c r="V324" s="122">
        <v>200</v>
      </c>
      <c r="W324" s="122">
        <v>14110</v>
      </c>
      <c r="X324" s="113">
        <v>1425.16</v>
      </c>
      <c r="Y324" s="122">
        <v>14116</v>
      </c>
      <c r="Z324" s="113">
        <v>1425.16</v>
      </c>
      <c r="AA324" s="113">
        <v>0</v>
      </c>
      <c r="AB324" s="113">
        <v>0</v>
      </c>
      <c r="AC324" s="122">
        <v>70260</v>
      </c>
      <c r="AD324" s="113">
        <v>0</v>
      </c>
      <c r="AE324" s="122" t="s">
        <v>433</v>
      </c>
      <c r="AF324" s="92"/>
      <c r="AG324" s="92"/>
      <c r="AH324" s="92" t="s">
        <v>2</v>
      </c>
      <c r="AI324" s="92" t="s">
        <v>1785</v>
      </c>
      <c r="AJ324" s="92" t="s">
        <v>1787</v>
      </c>
      <c r="AK324" s="92" t="s">
        <v>1779</v>
      </c>
      <c r="AL324" s="92">
        <v>0</v>
      </c>
      <c r="AM324" s="92">
        <v>0</v>
      </c>
    </row>
    <row r="325" spans="2:39">
      <c r="B325" s="122">
        <v>2149</v>
      </c>
      <c r="C325" s="132">
        <v>169240</v>
      </c>
      <c r="D325" s="122" t="s">
        <v>433</v>
      </c>
      <c r="E325" s="92" t="s">
        <v>1626</v>
      </c>
      <c r="F325" t="s">
        <v>1202</v>
      </c>
      <c r="I325" s="122">
        <v>1</v>
      </c>
      <c r="J325" s="92" t="s">
        <v>617</v>
      </c>
      <c r="K325" s="122">
        <v>2006</v>
      </c>
      <c r="L325" s="92" t="s">
        <v>1201</v>
      </c>
      <c r="M325" s="92"/>
      <c r="N325" s="92" t="s">
        <v>1788</v>
      </c>
      <c r="O325" s="92" t="s">
        <v>1789</v>
      </c>
      <c r="P325" s="92" t="s">
        <v>1817</v>
      </c>
      <c r="Q325" s="92"/>
      <c r="R325" s="92"/>
      <c r="S325" s="133">
        <v>42657</v>
      </c>
      <c r="T325" s="133">
        <v>42657</v>
      </c>
      <c r="U325" s="92" t="s">
        <v>1200</v>
      </c>
      <c r="V325" s="122">
        <v>500</v>
      </c>
      <c r="W325" s="122">
        <v>14040</v>
      </c>
      <c r="X325" s="113">
        <v>45489</v>
      </c>
      <c r="Y325" s="122">
        <v>14046</v>
      </c>
      <c r="Z325" s="113">
        <v>45489</v>
      </c>
      <c r="AA325" s="113">
        <v>0</v>
      </c>
      <c r="AB325" s="113">
        <v>0</v>
      </c>
      <c r="AC325" s="122">
        <v>51260</v>
      </c>
      <c r="AD325" s="113">
        <v>0</v>
      </c>
      <c r="AE325" s="122" t="s">
        <v>433</v>
      </c>
      <c r="AF325" s="92"/>
      <c r="AG325" s="92">
        <v>8013</v>
      </c>
      <c r="AH325" s="92" t="s">
        <v>2</v>
      </c>
      <c r="AI325" s="92" t="s">
        <v>1785</v>
      </c>
      <c r="AJ325" s="92" t="s">
        <v>1787</v>
      </c>
      <c r="AK325" s="92" t="s">
        <v>1779</v>
      </c>
      <c r="AL325" s="92">
        <v>0</v>
      </c>
      <c r="AM325" s="92">
        <v>0</v>
      </c>
    </row>
    <row r="326" spans="2:39">
      <c r="B326" s="122">
        <v>2149</v>
      </c>
      <c r="C326" s="132">
        <v>168865</v>
      </c>
      <c r="D326" s="122" t="s">
        <v>433</v>
      </c>
      <c r="E326" s="92" t="s">
        <v>1626</v>
      </c>
      <c r="F326" t="s">
        <v>463</v>
      </c>
      <c r="I326" s="122">
        <v>353</v>
      </c>
      <c r="J326" s="92"/>
      <c r="K326" s="122">
        <v>0</v>
      </c>
      <c r="L326" s="92" t="s">
        <v>1199</v>
      </c>
      <c r="M326" s="92"/>
      <c r="N326" s="92" t="s">
        <v>646</v>
      </c>
      <c r="O326" s="92" t="s">
        <v>1789</v>
      </c>
      <c r="P326" s="92"/>
      <c r="Q326" s="92"/>
      <c r="R326" s="92"/>
      <c r="S326" s="133">
        <v>42654</v>
      </c>
      <c r="T326" s="133">
        <v>42654</v>
      </c>
      <c r="U326" s="92" t="s">
        <v>1198</v>
      </c>
      <c r="V326" s="122">
        <v>700</v>
      </c>
      <c r="W326" s="122">
        <v>14050</v>
      </c>
      <c r="X326" s="113">
        <v>16852.22</v>
      </c>
      <c r="Y326" s="122">
        <v>14056</v>
      </c>
      <c r="Z326" s="113">
        <v>16852.22</v>
      </c>
      <c r="AA326" s="113">
        <v>0</v>
      </c>
      <c r="AB326" s="113">
        <v>0</v>
      </c>
      <c r="AC326" s="122">
        <v>54260</v>
      </c>
      <c r="AD326" s="113">
        <v>0</v>
      </c>
      <c r="AE326" s="122" t="s">
        <v>433</v>
      </c>
      <c r="AF326" s="92"/>
      <c r="AG326" s="92"/>
      <c r="AH326" s="92" t="s">
        <v>2</v>
      </c>
      <c r="AI326" s="92" t="s">
        <v>1785</v>
      </c>
      <c r="AJ326" s="92" t="s">
        <v>1787</v>
      </c>
      <c r="AK326" s="92" t="s">
        <v>1779</v>
      </c>
      <c r="AL326" s="92">
        <v>0</v>
      </c>
      <c r="AM326" s="92">
        <v>0</v>
      </c>
    </row>
    <row r="327" spans="2:39">
      <c r="B327" s="122">
        <v>2149</v>
      </c>
      <c r="C327" s="132">
        <v>165805</v>
      </c>
      <c r="D327" s="122" t="s">
        <v>433</v>
      </c>
      <c r="E327" s="92" t="s">
        <v>1626</v>
      </c>
      <c r="F327" t="s">
        <v>1197</v>
      </c>
      <c r="I327" s="122">
        <v>1</v>
      </c>
      <c r="J327" s="92"/>
      <c r="K327" s="122">
        <v>0</v>
      </c>
      <c r="L327" s="92" t="s">
        <v>1196</v>
      </c>
      <c r="M327" s="92"/>
      <c r="N327" s="92" t="s">
        <v>1798</v>
      </c>
      <c r="O327" s="92" t="s">
        <v>1789</v>
      </c>
      <c r="P327" s="92"/>
      <c r="Q327" s="92"/>
      <c r="R327" s="92"/>
      <c r="S327" s="133">
        <v>42522</v>
      </c>
      <c r="T327" s="133">
        <v>42522</v>
      </c>
      <c r="U327" s="92" t="s">
        <v>1172</v>
      </c>
      <c r="V327" s="122">
        <v>100</v>
      </c>
      <c r="W327" s="122">
        <v>14110</v>
      </c>
      <c r="X327" s="113">
        <v>6255.46</v>
      </c>
      <c r="Y327" s="122">
        <v>14116</v>
      </c>
      <c r="Z327" s="113">
        <v>6255.46</v>
      </c>
      <c r="AA327" s="113">
        <v>0</v>
      </c>
      <c r="AB327" s="113">
        <v>0</v>
      </c>
      <c r="AC327" s="122">
        <v>70260</v>
      </c>
      <c r="AD327" s="113">
        <v>0</v>
      </c>
      <c r="AE327" s="122" t="s">
        <v>433</v>
      </c>
      <c r="AF327" s="92"/>
      <c r="AG327" s="92"/>
      <c r="AH327" s="92" t="s">
        <v>2</v>
      </c>
      <c r="AI327" s="92" t="s">
        <v>1785</v>
      </c>
      <c r="AJ327" s="92" t="s">
        <v>1787</v>
      </c>
      <c r="AK327" s="92" t="s">
        <v>1779</v>
      </c>
      <c r="AL327" s="92">
        <v>0</v>
      </c>
      <c r="AM327" s="92">
        <v>0</v>
      </c>
    </row>
    <row r="328" spans="2:39">
      <c r="B328" s="122">
        <v>2149</v>
      </c>
      <c r="C328" s="132">
        <v>139763</v>
      </c>
      <c r="D328" s="122" t="s">
        <v>433</v>
      </c>
      <c r="E328" s="92" t="s">
        <v>1626</v>
      </c>
      <c r="F328" t="s">
        <v>1195</v>
      </c>
      <c r="I328" s="122">
        <v>1</v>
      </c>
      <c r="J328" s="92"/>
      <c r="K328" s="122">
        <v>0</v>
      </c>
      <c r="L328" s="92" t="s">
        <v>1194</v>
      </c>
      <c r="M328" s="92"/>
      <c r="N328" s="92" t="s">
        <v>1801</v>
      </c>
      <c r="O328" s="92" t="s">
        <v>1789</v>
      </c>
      <c r="P328" s="92"/>
      <c r="Q328" s="92"/>
      <c r="R328" s="92"/>
      <c r="S328" s="133">
        <v>42529</v>
      </c>
      <c r="T328" s="133">
        <v>42529</v>
      </c>
      <c r="U328" s="92" t="s">
        <v>1193</v>
      </c>
      <c r="V328" s="122">
        <v>500</v>
      </c>
      <c r="W328" s="122">
        <v>14070</v>
      </c>
      <c r="X328" s="113">
        <v>12072.05</v>
      </c>
      <c r="Y328" s="122">
        <v>14076</v>
      </c>
      <c r="Z328" s="113">
        <v>12072.05</v>
      </c>
      <c r="AA328" s="113">
        <v>0</v>
      </c>
      <c r="AB328" s="113">
        <v>0</v>
      </c>
      <c r="AC328" s="122">
        <v>51260</v>
      </c>
      <c r="AD328" s="113">
        <v>0</v>
      </c>
      <c r="AE328" s="122" t="s">
        <v>433</v>
      </c>
      <c r="AF328" s="92"/>
      <c r="AG328" s="92"/>
      <c r="AH328" s="92" t="s">
        <v>2</v>
      </c>
      <c r="AI328" s="92" t="s">
        <v>1785</v>
      </c>
      <c r="AJ328" s="92" t="s">
        <v>1787</v>
      </c>
      <c r="AK328" s="92" t="s">
        <v>1779</v>
      </c>
      <c r="AL328" s="92">
        <v>0</v>
      </c>
      <c r="AM328" s="92">
        <v>0</v>
      </c>
    </row>
    <row r="329" spans="2:39">
      <c r="B329" s="122">
        <v>2149</v>
      </c>
      <c r="C329" s="132">
        <v>139712</v>
      </c>
      <c r="D329" s="122" t="s">
        <v>433</v>
      </c>
      <c r="E329" s="92" t="s">
        <v>1626</v>
      </c>
      <c r="F329" t="s">
        <v>1192</v>
      </c>
      <c r="I329" s="122">
        <v>1</v>
      </c>
      <c r="J329" s="92" t="s">
        <v>621</v>
      </c>
      <c r="K329" s="122">
        <v>2007</v>
      </c>
      <c r="L329" s="92" t="s">
        <v>1191</v>
      </c>
      <c r="M329" s="92" t="s">
        <v>1191</v>
      </c>
      <c r="N329" s="92" t="s">
        <v>1807</v>
      </c>
      <c r="O329" s="92" t="s">
        <v>1789</v>
      </c>
      <c r="P329" s="92" t="s">
        <v>622</v>
      </c>
      <c r="Q329" s="92"/>
      <c r="R329" s="92"/>
      <c r="S329" s="133">
        <v>42522</v>
      </c>
      <c r="T329" s="133">
        <v>42522</v>
      </c>
      <c r="U329" s="92" t="s">
        <v>1190</v>
      </c>
      <c r="V329" s="122">
        <v>300</v>
      </c>
      <c r="W329" s="122">
        <v>14030</v>
      </c>
      <c r="X329" s="113">
        <v>30385.43</v>
      </c>
      <c r="Y329" s="122">
        <v>14036</v>
      </c>
      <c r="Z329" s="113">
        <v>30385.43</v>
      </c>
      <c r="AA329" s="113">
        <v>0</v>
      </c>
      <c r="AB329" s="113">
        <v>0</v>
      </c>
      <c r="AC329" s="122">
        <v>51260</v>
      </c>
      <c r="AD329" s="113">
        <v>0</v>
      </c>
      <c r="AE329" s="122" t="s">
        <v>433</v>
      </c>
      <c r="AF329" s="92"/>
      <c r="AG329" s="92" t="s">
        <v>1189</v>
      </c>
      <c r="AH329" s="92" t="s">
        <v>2</v>
      </c>
      <c r="AI329" s="92" t="s">
        <v>1785</v>
      </c>
      <c r="AJ329" s="92" t="s">
        <v>1787</v>
      </c>
      <c r="AK329" s="92" t="s">
        <v>1779</v>
      </c>
      <c r="AL329" s="92">
        <v>0</v>
      </c>
      <c r="AM329" s="92">
        <v>0</v>
      </c>
    </row>
    <row r="330" spans="2:39">
      <c r="B330" s="122">
        <v>2149</v>
      </c>
      <c r="C330" s="132">
        <v>132888</v>
      </c>
      <c r="D330" s="122" t="s">
        <v>433</v>
      </c>
      <c r="E330" s="92" t="s">
        <v>1626</v>
      </c>
      <c r="F330" t="s">
        <v>1188</v>
      </c>
      <c r="I330" s="122">
        <v>1</v>
      </c>
      <c r="J330" s="92"/>
      <c r="K330" s="122">
        <v>0</v>
      </c>
      <c r="L330" s="92" t="s">
        <v>1163</v>
      </c>
      <c r="M330" s="92"/>
      <c r="N330" s="92" t="s">
        <v>646</v>
      </c>
      <c r="O330" s="92" t="s">
        <v>1789</v>
      </c>
      <c r="P330" s="92"/>
      <c r="Q330" s="92" t="s">
        <v>1811</v>
      </c>
      <c r="R330" s="92" t="s">
        <v>1794</v>
      </c>
      <c r="S330" s="133">
        <v>42489</v>
      </c>
      <c r="T330" s="133">
        <v>42489</v>
      </c>
      <c r="U330" s="92" t="s">
        <v>1187</v>
      </c>
      <c r="V330" s="122">
        <v>1200</v>
      </c>
      <c r="W330" s="122">
        <v>14050</v>
      </c>
      <c r="X330" s="113">
        <v>5420</v>
      </c>
      <c r="Y330" s="122">
        <v>14056</v>
      </c>
      <c r="Z330" s="113">
        <v>3613.36</v>
      </c>
      <c r="AA330" s="113">
        <v>1806.6399999999999</v>
      </c>
      <c r="AB330" s="113">
        <v>150.56</v>
      </c>
      <c r="AC330" s="122">
        <v>54260</v>
      </c>
      <c r="AD330" s="113">
        <v>37.64</v>
      </c>
      <c r="AE330" s="122" t="s">
        <v>433</v>
      </c>
      <c r="AF330" s="92"/>
      <c r="AG330" s="92"/>
      <c r="AH330" s="92" t="s">
        <v>2</v>
      </c>
      <c r="AI330" s="92" t="s">
        <v>1785</v>
      </c>
      <c r="AJ330" s="92" t="s">
        <v>1787</v>
      </c>
      <c r="AK330" s="92" t="s">
        <v>1779</v>
      </c>
      <c r="AL330" s="92">
        <v>0</v>
      </c>
      <c r="AM330" s="92">
        <v>0</v>
      </c>
    </row>
    <row r="331" spans="2:39">
      <c r="B331" s="122">
        <v>2149</v>
      </c>
      <c r="C331" s="132">
        <v>132254</v>
      </c>
      <c r="D331" s="122" t="s">
        <v>433</v>
      </c>
      <c r="E331" s="92" t="s">
        <v>1626</v>
      </c>
      <c r="F331" t="s">
        <v>1186</v>
      </c>
      <c r="I331" s="122">
        <v>325</v>
      </c>
      <c r="J331" s="92"/>
      <c r="K331" s="122">
        <v>0</v>
      </c>
      <c r="L331" s="92" t="s">
        <v>1138</v>
      </c>
      <c r="M331" s="92"/>
      <c r="N331" s="92" t="s">
        <v>646</v>
      </c>
      <c r="O331" s="92" t="s">
        <v>1789</v>
      </c>
      <c r="P331" s="92"/>
      <c r="Q331" s="92"/>
      <c r="R331" s="92"/>
      <c r="S331" s="133">
        <v>42395</v>
      </c>
      <c r="T331" s="133">
        <v>42395</v>
      </c>
      <c r="U331" s="92" t="s">
        <v>1181</v>
      </c>
      <c r="V331" s="122">
        <v>700</v>
      </c>
      <c r="W331" s="122">
        <v>14050</v>
      </c>
      <c r="X331" s="113">
        <v>12825.47</v>
      </c>
      <c r="Y331" s="122">
        <v>14056</v>
      </c>
      <c r="Z331" s="113">
        <v>12825.47</v>
      </c>
      <c r="AA331" s="113">
        <v>0</v>
      </c>
      <c r="AB331" s="113">
        <v>0</v>
      </c>
      <c r="AC331" s="122">
        <v>54260</v>
      </c>
      <c r="AD331" s="113">
        <v>0</v>
      </c>
      <c r="AE331" s="122" t="s">
        <v>433</v>
      </c>
      <c r="AF331" s="92"/>
      <c r="AG331" s="92"/>
      <c r="AH331" s="92" t="s">
        <v>2</v>
      </c>
      <c r="AI331" s="92" t="s">
        <v>1785</v>
      </c>
      <c r="AJ331" s="92" t="s">
        <v>1787</v>
      </c>
      <c r="AK331" s="92" t="s">
        <v>1779</v>
      </c>
      <c r="AL331" s="92">
        <v>0</v>
      </c>
      <c r="AM331" s="92">
        <v>0</v>
      </c>
    </row>
    <row r="332" spans="2:39">
      <c r="B332" s="122">
        <v>2149</v>
      </c>
      <c r="C332" s="132">
        <v>132253</v>
      </c>
      <c r="D332" s="122" t="s">
        <v>433</v>
      </c>
      <c r="E332" s="92" t="s">
        <v>1626</v>
      </c>
      <c r="F332" t="s">
        <v>1185</v>
      </c>
      <c r="I332" s="122">
        <v>94</v>
      </c>
      <c r="J332" s="92"/>
      <c r="K332" s="122">
        <v>0</v>
      </c>
      <c r="L332" s="92" t="s">
        <v>1138</v>
      </c>
      <c r="M332" s="92"/>
      <c r="N332" s="92" t="s">
        <v>646</v>
      </c>
      <c r="O332" s="92" t="s">
        <v>1789</v>
      </c>
      <c r="P332" s="92"/>
      <c r="Q332" s="92"/>
      <c r="R332" s="92"/>
      <c r="S332" s="133">
        <v>42395</v>
      </c>
      <c r="T332" s="133">
        <v>42395</v>
      </c>
      <c r="U332" s="92" t="s">
        <v>1181</v>
      </c>
      <c r="V332" s="122">
        <v>700</v>
      </c>
      <c r="W332" s="122">
        <v>14050</v>
      </c>
      <c r="X332" s="113">
        <v>4226.53</v>
      </c>
      <c r="Y332" s="122">
        <v>14056</v>
      </c>
      <c r="Z332" s="113">
        <v>4226.53</v>
      </c>
      <c r="AA332" s="113">
        <v>0</v>
      </c>
      <c r="AB332" s="113">
        <v>0</v>
      </c>
      <c r="AC332" s="122">
        <v>54260</v>
      </c>
      <c r="AD332" s="113">
        <v>0</v>
      </c>
      <c r="AE332" s="122" t="s">
        <v>433</v>
      </c>
      <c r="AF332" s="92"/>
      <c r="AG332" s="92"/>
      <c r="AH332" s="92" t="s">
        <v>2</v>
      </c>
      <c r="AI332" s="92" t="s">
        <v>1785</v>
      </c>
      <c r="AJ332" s="92" t="s">
        <v>1787</v>
      </c>
      <c r="AK332" s="92" t="s">
        <v>1779</v>
      </c>
      <c r="AL332" s="92">
        <v>0</v>
      </c>
      <c r="AM332" s="92">
        <v>0</v>
      </c>
    </row>
    <row r="333" spans="2:39">
      <c r="B333" s="122">
        <v>2149</v>
      </c>
      <c r="C333" s="132">
        <v>132252</v>
      </c>
      <c r="D333" s="122" t="s">
        <v>433</v>
      </c>
      <c r="E333" s="92" t="s">
        <v>1626</v>
      </c>
      <c r="F333" t="s">
        <v>1185</v>
      </c>
      <c r="I333" s="122">
        <v>56</v>
      </c>
      <c r="J333" s="92"/>
      <c r="K333" s="122">
        <v>0</v>
      </c>
      <c r="L333" s="92" t="s">
        <v>1138</v>
      </c>
      <c r="M333" s="92"/>
      <c r="N333" s="92" t="s">
        <v>646</v>
      </c>
      <c r="O333" s="92" t="s">
        <v>1789</v>
      </c>
      <c r="P333" s="92"/>
      <c r="Q333" s="92"/>
      <c r="R333" s="92"/>
      <c r="S333" s="133">
        <v>42417</v>
      </c>
      <c r="T333" s="133">
        <v>42417</v>
      </c>
      <c r="U333" s="92" t="s">
        <v>1166</v>
      </c>
      <c r="V333" s="122">
        <v>1200</v>
      </c>
      <c r="W333" s="122">
        <v>14050</v>
      </c>
      <c r="X333" s="113">
        <v>2546.0500000000002</v>
      </c>
      <c r="Y333" s="122">
        <v>14056</v>
      </c>
      <c r="Z333" s="113">
        <v>1732.72</v>
      </c>
      <c r="AA333" s="113">
        <v>813.33000000000015</v>
      </c>
      <c r="AB333" s="113">
        <v>70.72</v>
      </c>
      <c r="AC333" s="122">
        <v>54260</v>
      </c>
      <c r="AD333" s="113">
        <v>17.68</v>
      </c>
      <c r="AE333" s="122" t="s">
        <v>433</v>
      </c>
      <c r="AF333" s="92"/>
      <c r="AG333" s="92"/>
      <c r="AH333" s="92" t="s">
        <v>2</v>
      </c>
      <c r="AI333" s="92" t="s">
        <v>1785</v>
      </c>
      <c r="AJ333" s="92" t="s">
        <v>1787</v>
      </c>
      <c r="AK333" s="92" t="s">
        <v>1779</v>
      </c>
      <c r="AL333" s="92">
        <v>0</v>
      </c>
      <c r="AM333" s="92">
        <v>0</v>
      </c>
    </row>
    <row r="334" spans="2:39">
      <c r="B334" s="122">
        <v>2149</v>
      </c>
      <c r="C334" s="132">
        <v>132251</v>
      </c>
      <c r="D334" s="122" t="s">
        <v>433</v>
      </c>
      <c r="E334" s="92" t="s">
        <v>1626</v>
      </c>
      <c r="F334" t="s">
        <v>1184</v>
      </c>
      <c r="I334" s="122">
        <v>150</v>
      </c>
      <c r="J334" s="92"/>
      <c r="K334" s="122">
        <v>0</v>
      </c>
      <c r="L334" s="92" t="s">
        <v>1138</v>
      </c>
      <c r="M334" s="92"/>
      <c r="N334" s="92" t="s">
        <v>646</v>
      </c>
      <c r="O334" s="92" t="s">
        <v>1789</v>
      </c>
      <c r="P334" s="92"/>
      <c r="Q334" s="92"/>
      <c r="R334" s="92"/>
      <c r="S334" s="133">
        <v>42417</v>
      </c>
      <c r="T334" s="133">
        <v>42417</v>
      </c>
      <c r="U334" s="92" t="s">
        <v>1166</v>
      </c>
      <c r="V334" s="122">
        <v>1200</v>
      </c>
      <c r="W334" s="122">
        <v>14050</v>
      </c>
      <c r="X334" s="113">
        <v>7138.2</v>
      </c>
      <c r="Y334" s="122">
        <v>14056</v>
      </c>
      <c r="Z334" s="113">
        <v>4857.9399999999996</v>
      </c>
      <c r="AA334" s="113">
        <v>2280.2600000000002</v>
      </c>
      <c r="AB334" s="113">
        <v>198.28</v>
      </c>
      <c r="AC334" s="122">
        <v>54260</v>
      </c>
      <c r="AD334" s="113">
        <v>49.57</v>
      </c>
      <c r="AE334" s="122" t="s">
        <v>433</v>
      </c>
      <c r="AF334" s="92"/>
      <c r="AG334" s="92"/>
      <c r="AH334" s="92" t="s">
        <v>2</v>
      </c>
      <c r="AI334" s="92" t="s">
        <v>1785</v>
      </c>
      <c r="AJ334" s="92" t="s">
        <v>1787</v>
      </c>
      <c r="AK334" s="92" t="s">
        <v>1779</v>
      </c>
      <c r="AL334" s="92">
        <v>0</v>
      </c>
      <c r="AM334" s="92">
        <v>0</v>
      </c>
    </row>
    <row r="335" spans="2:39">
      <c r="B335" s="122">
        <v>2149</v>
      </c>
      <c r="C335" s="132">
        <v>132250</v>
      </c>
      <c r="D335" s="122" t="s">
        <v>433</v>
      </c>
      <c r="E335" s="92" t="s">
        <v>1626</v>
      </c>
      <c r="F335" t="s">
        <v>1183</v>
      </c>
      <c r="I335" s="122">
        <v>150</v>
      </c>
      <c r="J335" s="92"/>
      <c r="K335" s="122">
        <v>0</v>
      </c>
      <c r="L335" s="92" t="s">
        <v>1138</v>
      </c>
      <c r="M335" s="92"/>
      <c r="N335" s="92" t="s">
        <v>646</v>
      </c>
      <c r="O335" s="92" t="s">
        <v>1789</v>
      </c>
      <c r="P335" s="92"/>
      <c r="Q335" s="92"/>
      <c r="R335" s="92"/>
      <c r="S335" s="133">
        <v>42417</v>
      </c>
      <c r="T335" s="133">
        <v>42417</v>
      </c>
      <c r="U335" s="92" t="s">
        <v>1166</v>
      </c>
      <c r="V335" s="122">
        <v>1200</v>
      </c>
      <c r="W335" s="122">
        <v>14050</v>
      </c>
      <c r="X335" s="113">
        <v>8095.75</v>
      </c>
      <c r="Y335" s="122">
        <v>14056</v>
      </c>
      <c r="Z335" s="113">
        <v>5509.64</v>
      </c>
      <c r="AA335" s="113">
        <v>2586.1099999999997</v>
      </c>
      <c r="AB335" s="113">
        <v>224.88</v>
      </c>
      <c r="AC335" s="122">
        <v>54260</v>
      </c>
      <c r="AD335" s="113">
        <v>56.22</v>
      </c>
      <c r="AE335" s="122" t="s">
        <v>433</v>
      </c>
      <c r="AF335" s="92"/>
      <c r="AG335" s="92"/>
      <c r="AH335" s="92" t="s">
        <v>2</v>
      </c>
      <c r="AI335" s="92" t="s">
        <v>1785</v>
      </c>
      <c r="AJ335" s="92" t="s">
        <v>1787</v>
      </c>
      <c r="AK335" s="92" t="s">
        <v>1779</v>
      </c>
      <c r="AL335" s="92">
        <v>0</v>
      </c>
      <c r="AM335" s="92">
        <v>0</v>
      </c>
    </row>
    <row r="336" spans="2:39">
      <c r="B336" s="122">
        <v>2149</v>
      </c>
      <c r="C336" s="132">
        <v>132006</v>
      </c>
      <c r="D336" s="122" t="s">
        <v>433</v>
      </c>
      <c r="E336" s="92" t="s">
        <v>1626</v>
      </c>
      <c r="F336" t="s">
        <v>1167</v>
      </c>
      <c r="I336" s="122">
        <v>3</v>
      </c>
      <c r="J336" s="92"/>
      <c r="K336" s="122">
        <v>0</v>
      </c>
      <c r="L336" s="92" t="s">
        <v>1163</v>
      </c>
      <c r="M336" s="92"/>
      <c r="N336" s="92" t="s">
        <v>646</v>
      </c>
      <c r="O336" s="92" t="s">
        <v>1789</v>
      </c>
      <c r="P336" s="92"/>
      <c r="Q336" s="92" t="s">
        <v>1796</v>
      </c>
      <c r="R336" s="92" t="s">
        <v>1794</v>
      </c>
      <c r="S336" s="133">
        <v>42417</v>
      </c>
      <c r="T336" s="133">
        <v>42417</v>
      </c>
      <c r="U336" s="92" t="s">
        <v>1166</v>
      </c>
      <c r="V336" s="122">
        <v>1200</v>
      </c>
      <c r="W336" s="122">
        <v>14050</v>
      </c>
      <c r="X336" s="113">
        <v>19190</v>
      </c>
      <c r="Y336" s="122">
        <v>14056</v>
      </c>
      <c r="Z336" s="113">
        <v>13059.87</v>
      </c>
      <c r="AA336" s="113">
        <v>6130.1299999999992</v>
      </c>
      <c r="AB336" s="113">
        <v>533.04</v>
      </c>
      <c r="AC336" s="122">
        <v>54260</v>
      </c>
      <c r="AD336" s="113">
        <v>133.26</v>
      </c>
      <c r="AE336" s="122" t="s">
        <v>433</v>
      </c>
      <c r="AF336" s="92"/>
      <c r="AG336" s="92"/>
      <c r="AH336" s="92" t="s">
        <v>2</v>
      </c>
      <c r="AI336" s="92" t="s">
        <v>1785</v>
      </c>
      <c r="AJ336" s="92" t="s">
        <v>1787</v>
      </c>
      <c r="AK336" s="92" t="s">
        <v>1779</v>
      </c>
      <c r="AL336" s="92">
        <v>0</v>
      </c>
      <c r="AM336" s="92">
        <v>0</v>
      </c>
    </row>
    <row r="337" spans="2:39">
      <c r="B337" s="122">
        <v>2149</v>
      </c>
      <c r="C337" s="132">
        <v>132005</v>
      </c>
      <c r="D337" s="122" t="s">
        <v>433</v>
      </c>
      <c r="E337" s="92" t="s">
        <v>1626</v>
      </c>
      <c r="F337" t="s">
        <v>1182</v>
      </c>
      <c r="I337" s="122">
        <v>3</v>
      </c>
      <c r="J337" s="92"/>
      <c r="K337" s="122">
        <v>0</v>
      </c>
      <c r="L337" s="92" t="s">
        <v>1163</v>
      </c>
      <c r="M337" s="92"/>
      <c r="N337" s="92" t="s">
        <v>646</v>
      </c>
      <c r="O337" s="92" t="s">
        <v>1789</v>
      </c>
      <c r="P337" s="92"/>
      <c r="Q337" s="92" t="s">
        <v>1796</v>
      </c>
      <c r="R337" s="92" t="s">
        <v>1794</v>
      </c>
      <c r="S337" s="133">
        <v>42395</v>
      </c>
      <c r="T337" s="133">
        <v>42395</v>
      </c>
      <c r="U337" s="92" t="s">
        <v>1181</v>
      </c>
      <c r="V337" s="122">
        <v>1200</v>
      </c>
      <c r="W337" s="122">
        <v>14050</v>
      </c>
      <c r="X337" s="113">
        <v>17780</v>
      </c>
      <c r="Y337" s="122">
        <v>14056</v>
      </c>
      <c r="Z337" s="113">
        <v>12223.77</v>
      </c>
      <c r="AA337" s="113">
        <v>5556.23</v>
      </c>
      <c r="AB337" s="113">
        <v>493.88</v>
      </c>
      <c r="AC337" s="122">
        <v>54260</v>
      </c>
      <c r="AD337" s="113">
        <v>123.47</v>
      </c>
      <c r="AE337" s="122" t="s">
        <v>433</v>
      </c>
      <c r="AF337" s="92"/>
      <c r="AG337" s="92"/>
      <c r="AH337" s="92" t="s">
        <v>2</v>
      </c>
      <c r="AI337" s="92" t="s">
        <v>1785</v>
      </c>
      <c r="AJ337" s="92" t="s">
        <v>1787</v>
      </c>
      <c r="AK337" s="92" t="s">
        <v>1779</v>
      </c>
      <c r="AL337" s="92">
        <v>0</v>
      </c>
      <c r="AM337" s="92">
        <v>0</v>
      </c>
    </row>
    <row r="338" spans="2:39">
      <c r="B338" s="122">
        <v>2149</v>
      </c>
      <c r="C338" s="132">
        <v>131775</v>
      </c>
      <c r="D338" s="122" t="s">
        <v>433</v>
      </c>
      <c r="E338" s="92" t="s">
        <v>1626</v>
      </c>
      <c r="F338" t="s">
        <v>1180</v>
      </c>
      <c r="I338" s="122">
        <v>5</v>
      </c>
      <c r="J338" s="92"/>
      <c r="K338" s="122">
        <v>0</v>
      </c>
      <c r="L338" s="92" t="s">
        <v>791</v>
      </c>
      <c r="M338" s="92"/>
      <c r="N338" s="92" t="s">
        <v>646</v>
      </c>
      <c r="O338" s="92" t="s">
        <v>1789</v>
      </c>
      <c r="P338" s="92"/>
      <c r="Q338" s="92" t="s">
        <v>1818</v>
      </c>
      <c r="R338" s="92" t="s">
        <v>1791</v>
      </c>
      <c r="S338" s="133">
        <v>42426</v>
      </c>
      <c r="T338" s="133">
        <v>42426</v>
      </c>
      <c r="U338" s="92" t="s">
        <v>1175</v>
      </c>
      <c r="V338" s="122">
        <v>1200</v>
      </c>
      <c r="W338" s="122">
        <v>14050</v>
      </c>
      <c r="X338" s="113">
        <v>2025</v>
      </c>
      <c r="Y338" s="122">
        <v>14056</v>
      </c>
      <c r="Z338" s="113">
        <v>1378.11</v>
      </c>
      <c r="AA338" s="113">
        <v>646.8900000000001</v>
      </c>
      <c r="AB338" s="113">
        <v>56.24</v>
      </c>
      <c r="AC338" s="122">
        <v>54260</v>
      </c>
      <c r="AD338" s="113">
        <v>14.06</v>
      </c>
      <c r="AE338" s="122" t="s">
        <v>433</v>
      </c>
      <c r="AF338" s="92"/>
      <c r="AG338" s="92"/>
      <c r="AH338" s="92" t="s">
        <v>2</v>
      </c>
      <c r="AI338" s="92" t="s">
        <v>1785</v>
      </c>
      <c r="AJ338" s="92" t="s">
        <v>1787</v>
      </c>
      <c r="AK338" s="92" t="s">
        <v>1779</v>
      </c>
      <c r="AL338" s="92">
        <v>0</v>
      </c>
      <c r="AM338" s="92">
        <v>0</v>
      </c>
    </row>
    <row r="339" spans="2:39">
      <c r="B339" s="122">
        <v>2149</v>
      </c>
      <c r="C339" s="132">
        <v>131774</v>
      </c>
      <c r="D339" s="122" t="s">
        <v>433</v>
      </c>
      <c r="E339" s="92" t="s">
        <v>1626</v>
      </c>
      <c r="F339" t="s">
        <v>1179</v>
      </c>
      <c r="I339" s="122">
        <v>5</v>
      </c>
      <c r="J339" s="92"/>
      <c r="K339" s="122">
        <v>0</v>
      </c>
      <c r="L339" s="92" t="s">
        <v>791</v>
      </c>
      <c r="M339" s="92"/>
      <c r="N339" s="92" t="s">
        <v>646</v>
      </c>
      <c r="O339" s="92" t="s">
        <v>1789</v>
      </c>
      <c r="P339" s="92"/>
      <c r="Q339" s="92" t="s">
        <v>1790</v>
      </c>
      <c r="R339" s="92" t="s">
        <v>1791</v>
      </c>
      <c r="S339" s="133">
        <v>42426</v>
      </c>
      <c r="T339" s="133">
        <v>42426</v>
      </c>
      <c r="U339" s="92" t="s">
        <v>1175</v>
      </c>
      <c r="V339" s="122">
        <v>1200</v>
      </c>
      <c r="W339" s="122">
        <v>14050</v>
      </c>
      <c r="X339" s="113">
        <v>2200</v>
      </c>
      <c r="Y339" s="122">
        <v>14056</v>
      </c>
      <c r="Z339" s="113">
        <v>1497.21</v>
      </c>
      <c r="AA339" s="113">
        <v>702.79</v>
      </c>
      <c r="AB339" s="113">
        <v>61.12</v>
      </c>
      <c r="AC339" s="122">
        <v>54260</v>
      </c>
      <c r="AD339" s="113">
        <v>15.28</v>
      </c>
      <c r="AE339" s="122" t="s">
        <v>433</v>
      </c>
      <c r="AF339" s="92"/>
      <c r="AG339" s="92"/>
      <c r="AH339" s="92" t="s">
        <v>2</v>
      </c>
      <c r="AI339" s="92" t="s">
        <v>1785</v>
      </c>
      <c r="AJ339" s="92" t="s">
        <v>1787</v>
      </c>
      <c r="AK339" s="92" t="s">
        <v>1779</v>
      </c>
      <c r="AL339" s="92">
        <v>0</v>
      </c>
      <c r="AM339" s="92">
        <v>0</v>
      </c>
    </row>
    <row r="340" spans="2:39">
      <c r="B340" s="122">
        <v>2149</v>
      </c>
      <c r="C340" s="132">
        <v>131754</v>
      </c>
      <c r="D340" s="122" t="s">
        <v>433</v>
      </c>
      <c r="E340" s="92" t="s">
        <v>1626</v>
      </c>
      <c r="F340" t="s">
        <v>1178</v>
      </c>
      <c r="I340" s="122">
        <v>25</v>
      </c>
      <c r="J340" s="92"/>
      <c r="K340" s="122">
        <v>0</v>
      </c>
      <c r="L340" s="92" t="s">
        <v>791</v>
      </c>
      <c r="M340" s="92"/>
      <c r="N340" s="92" t="s">
        <v>646</v>
      </c>
      <c r="O340" s="92" t="s">
        <v>1789</v>
      </c>
      <c r="P340" s="92"/>
      <c r="Q340" s="92" t="s">
        <v>1790</v>
      </c>
      <c r="R340" s="92" t="s">
        <v>1791</v>
      </c>
      <c r="S340" s="133">
        <v>42426</v>
      </c>
      <c r="T340" s="133">
        <v>42426</v>
      </c>
      <c r="U340" s="92" t="s">
        <v>1175</v>
      </c>
      <c r="V340" s="122">
        <v>1200</v>
      </c>
      <c r="W340" s="122">
        <v>14050</v>
      </c>
      <c r="X340" s="113">
        <v>11000</v>
      </c>
      <c r="Y340" s="122">
        <v>14056</v>
      </c>
      <c r="Z340" s="113">
        <v>7486.14</v>
      </c>
      <c r="AA340" s="113">
        <v>3513.8599999999997</v>
      </c>
      <c r="AB340" s="113">
        <v>305.56</v>
      </c>
      <c r="AC340" s="122">
        <v>54260</v>
      </c>
      <c r="AD340" s="113">
        <v>76.39</v>
      </c>
      <c r="AE340" s="122" t="s">
        <v>433</v>
      </c>
      <c r="AF340" s="92"/>
      <c r="AG340" s="92"/>
      <c r="AH340" s="92" t="s">
        <v>2</v>
      </c>
      <c r="AI340" s="92" t="s">
        <v>1785</v>
      </c>
      <c r="AJ340" s="92" t="s">
        <v>1787</v>
      </c>
      <c r="AK340" s="92" t="s">
        <v>1779</v>
      </c>
      <c r="AL340" s="92">
        <v>0</v>
      </c>
      <c r="AM340" s="92">
        <v>0</v>
      </c>
    </row>
    <row r="341" spans="2:39">
      <c r="B341" s="122">
        <v>2149</v>
      </c>
      <c r="C341" s="132">
        <v>131753</v>
      </c>
      <c r="D341" s="122" t="s">
        <v>433</v>
      </c>
      <c r="E341" s="92" t="s">
        <v>1626</v>
      </c>
      <c r="F341" t="s">
        <v>1177</v>
      </c>
      <c r="I341" s="122">
        <v>44</v>
      </c>
      <c r="J341" s="92"/>
      <c r="K341" s="122">
        <v>0</v>
      </c>
      <c r="L341" s="92" t="s">
        <v>791</v>
      </c>
      <c r="M341" s="92"/>
      <c r="N341" s="92" t="s">
        <v>646</v>
      </c>
      <c r="O341" s="92" t="s">
        <v>1789</v>
      </c>
      <c r="P341" s="92"/>
      <c r="Q341" s="92" t="s">
        <v>1792</v>
      </c>
      <c r="R341" s="92" t="s">
        <v>1791</v>
      </c>
      <c r="S341" s="133">
        <v>42426</v>
      </c>
      <c r="T341" s="133">
        <v>42426</v>
      </c>
      <c r="U341" s="92" t="s">
        <v>1175</v>
      </c>
      <c r="V341" s="122">
        <v>1200</v>
      </c>
      <c r="W341" s="122">
        <v>14050</v>
      </c>
      <c r="X341" s="113">
        <v>20900</v>
      </c>
      <c r="Y341" s="122">
        <v>14056</v>
      </c>
      <c r="Z341" s="113">
        <v>14223.64</v>
      </c>
      <c r="AA341" s="113">
        <v>6676.3600000000006</v>
      </c>
      <c r="AB341" s="113">
        <v>580.55999999999995</v>
      </c>
      <c r="AC341" s="122">
        <v>54260</v>
      </c>
      <c r="AD341" s="113">
        <v>145.13999999999999</v>
      </c>
      <c r="AE341" s="122" t="s">
        <v>433</v>
      </c>
      <c r="AF341" s="92"/>
      <c r="AG341" s="92"/>
      <c r="AH341" s="92" t="s">
        <v>2</v>
      </c>
      <c r="AI341" s="92" t="s">
        <v>1785</v>
      </c>
      <c r="AJ341" s="92" t="s">
        <v>1787</v>
      </c>
      <c r="AK341" s="92" t="s">
        <v>1779</v>
      </c>
      <c r="AL341" s="92">
        <v>0</v>
      </c>
      <c r="AM341" s="92">
        <v>0</v>
      </c>
    </row>
    <row r="342" spans="2:39">
      <c r="B342" s="122">
        <v>2149</v>
      </c>
      <c r="C342" s="132">
        <v>131752</v>
      </c>
      <c r="D342" s="122" t="s">
        <v>433</v>
      </c>
      <c r="E342" s="92" t="s">
        <v>1626</v>
      </c>
      <c r="F342" t="s">
        <v>1176</v>
      </c>
      <c r="I342" s="122">
        <v>1</v>
      </c>
      <c r="J342" s="92"/>
      <c r="K342" s="122">
        <v>0</v>
      </c>
      <c r="L342" s="92" t="s">
        <v>791</v>
      </c>
      <c r="M342" s="92"/>
      <c r="N342" s="92" t="s">
        <v>646</v>
      </c>
      <c r="O342" s="92" t="s">
        <v>1789</v>
      </c>
      <c r="P342" s="92"/>
      <c r="Q342" s="92" t="s">
        <v>1792</v>
      </c>
      <c r="R342" s="92" t="s">
        <v>1791</v>
      </c>
      <c r="S342" s="133">
        <v>42426</v>
      </c>
      <c r="T342" s="133">
        <v>42426</v>
      </c>
      <c r="U342" s="92" t="s">
        <v>1175</v>
      </c>
      <c r="V342" s="122">
        <v>1200</v>
      </c>
      <c r="W342" s="122">
        <v>14050</v>
      </c>
      <c r="X342" s="113">
        <v>520</v>
      </c>
      <c r="Y342" s="122">
        <v>14056</v>
      </c>
      <c r="Z342" s="113">
        <v>353.86</v>
      </c>
      <c r="AA342" s="113">
        <v>166.14</v>
      </c>
      <c r="AB342" s="113">
        <v>14.44</v>
      </c>
      <c r="AC342" s="122">
        <v>54260</v>
      </c>
      <c r="AD342" s="113">
        <v>3.61</v>
      </c>
      <c r="AE342" s="122" t="s">
        <v>433</v>
      </c>
      <c r="AF342" s="92"/>
      <c r="AG342" s="92"/>
      <c r="AH342" s="92" t="s">
        <v>2</v>
      </c>
      <c r="AI342" s="92" t="s">
        <v>1785</v>
      </c>
      <c r="AJ342" s="92" t="s">
        <v>1787</v>
      </c>
      <c r="AK342" s="92" t="s">
        <v>1779</v>
      </c>
      <c r="AL342" s="92">
        <v>0</v>
      </c>
      <c r="AM342" s="92">
        <v>0</v>
      </c>
    </row>
    <row r="343" spans="2:39">
      <c r="B343" s="122">
        <v>2149</v>
      </c>
      <c r="C343" s="132">
        <v>131670</v>
      </c>
      <c r="D343" s="122" t="s">
        <v>433</v>
      </c>
      <c r="E343" s="92" t="s">
        <v>1626</v>
      </c>
      <c r="F343" t="s">
        <v>1821</v>
      </c>
      <c r="I343" s="122">
        <v>2</v>
      </c>
      <c r="J343" s="92"/>
      <c r="K343" s="122">
        <v>0</v>
      </c>
      <c r="L343" s="92" t="s">
        <v>1163</v>
      </c>
      <c r="M343" s="92"/>
      <c r="N343" s="92" t="s">
        <v>646</v>
      </c>
      <c r="O343" s="92" t="s">
        <v>1789</v>
      </c>
      <c r="P343" s="92"/>
      <c r="Q343" s="92" t="s">
        <v>1796</v>
      </c>
      <c r="R343" s="92" t="s">
        <v>1794</v>
      </c>
      <c r="S343" s="133">
        <v>42417</v>
      </c>
      <c r="T343" s="133">
        <v>42417</v>
      </c>
      <c r="U343" s="92" t="s">
        <v>1166</v>
      </c>
      <c r="V343" s="122">
        <v>1200</v>
      </c>
      <c r="W343" s="122">
        <v>14050</v>
      </c>
      <c r="X343" s="113">
        <v>11853.33</v>
      </c>
      <c r="Y343" s="122">
        <v>14056</v>
      </c>
      <c r="Z343" s="113">
        <v>8066.85</v>
      </c>
      <c r="AA343" s="113">
        <v>3786.4799999999996</v>
      </c>
      <c r="AB343" s="113">
        <v>329.24</v>
      </c>
      <c r="AC343" s="122">
        <v>54260</v>
      </c>
      <c r="AD343" s="113">
        <v>82.31</v>
      </c>
      <c r="AE343" s="122" t="s">
        <v>433</v>
      </c>
      <c r="AF343" s="92"/>
      <c r="AG343" s="92"/>
      <c r="AH343" s="92" t="s">
        <v>2</v>
      </c>
      <c r="AI343" s="92" t="s">
        <v>1785</v>
      </c>
      <c r="AJ343" s="92" t="s">
        <v>1787</v>
      </c>
      <c r="AK343" s="92" t="s">
        <v>1779</v>
      </c>
      <c r="AL343" s="92">
        <v>0</v>
      </c>
      <c r="AM343" s="92">
        <v>0</v>
      </c>
    </row>
    <row r="344" spans="2:39">
      <c r="B344" s="122">
        <v>2149</v>
      </c>
      <c r="C344" s="132">
        <v>131669</v>
      </c>
      <c r="D344" s="122" t="s">
        <v>433</v>
      </c>
      <c r="E344" s="92" t="s">
        <v>1626</v>
      </c>
      <c r="F344" t="s">
        <v>1820</v>
      </c>
      <c r="I344" s="122">
        <v>1</v>
      </c>
      <c r="J344" s="92"/>
      <c r="K344" s="122">
        <v>0</v>
      </c>
      <c r="L344" s="92" t="s">
        <v>1163</v>
      </c>
      <c r="M344" s="92"/>
      <c r="N344" s="92" t="s">
        <v>646</v>
      </c>
      <c r="O344" s="92" t="s">
        <v>1789</v>
      </c>
      <c r="P344" s="92"/>
      <c r="Q344" s="92" t="s">
        <v>1796</v>
      </c>
      <c r="R344" s="92" t="s">
        <v>1794</v>
      </c>
      <c r="S344" s="133">
        <v>42417</v>
      </c>
      <c r="T344" s="133">
        <v>42417</v>
      </c>
      <c r="U344" s="92" t="s">
        <v>1166</v>
      </c>
      <c r="V344" s="122">
        <v>1200</v>
      </c>
      <c r="W344" s="122">
        <v>14050</v>
      </c>
      <c r="X344" s="113">
        <v>6106.67</v>
      </c>
      <c r="Y344" s="122">
        <v>14056</v>
      </c>
      <c r="Z344" s="113">
        <v>4155.95</v>
      </c>
      <c r="AA344" s="113">
        <v>1950.7200000000003</v>
      </c>
      <c r="AB344" s="113">
        <v>169.64</v>
      </c>
      <c r="AC344" s="122">
        <v>54260</v>
      </c>
      <c r="AD344" s="113">
        <v>42.41</v>
      </c>
      <c r="AE344" s="122" t="s">
        <v>433</v>
      </c>
      <c r="AF344" s="92"/>
      <c r="AG344" s="92"/>
      <c r="AH344" s="92" t="s">
        <v>2</v>
      </c>
      <c r="AI344" s="92" t="s">
        <v>1785</v>
      </c>
      <c r="AJ344" s="92" t="s">
        <v>1787</v>
      </c>
      <c r="AK344" s="92" t="s">
        <v>1779</v>
      </c>
      <c r="AL344" s="92">
        <v>0</v>
      </c>
      <c r="AM344" s="92">
        <v>0</v>
      </c>
    </row>
    <row r="345" spans="2:39">
      <c r="B345" s="122">
        <v>2149</v>
      </c>
      <c r="C345" s="132">
        <v>131544</v>
      </c>
      <c r="D345" s="122" t="s">
        <v>433</v>
      </c>
      <c r="E345" s="92" t="s">
        <v>1626</v>
      </c>
      <c r="F345" t="s">
        <v>1174</v>
      </c>
      <c r="I345" s="122">
        <v>1</v>
      </c>
      <c r="J345" s="92"/>
      <c r="K345" s="122">
        <v>0</v>
      </c>
      <c r="L345" s="92" t="s">
        <v>1173</v>
      </c>
      <c r="M345" s="92"/>
      <c r="N345" s="92" t="s">
        <v>1798</v>
      </c>
      <c r="O345" s="92" t="s">
        <v>1789</v>
      </c>
      <c r="P345" s="92"/>
      <c r="Q345" s="92"/>
      <c r="R345" s="92"/>
      <c r="S345" s="133">
        <v>42460</v>
      </c>
      <c r="T345" s="133">
        <v>42460</v>
      </c>
      <c r="U345" s="92" t="s">
        <v>1172</v>
      </c>
      <c r="V345" s="122">
        <v>100</v>
      </c>
      <c r="W345" s="122">
        <v>14110</v>
      </c>
      <c r="X345" s="113">
        <v>5975.04</v>
      </c>
      <c r="Y345" s="122">
        <v>14116</v>
      </c>
      <c r="Z345" s="113">
        <v>5975.04</v>
      </c>
      <c r="AA345" s="113">
        <v>0</v>
      </c>
      <c r="AB345" s="113">
        <v>0</v>
      </c>
      <c r="AC345" s="122">
        <v>70260</v>
      </c>
      <c r="AD345" s="113">
        <v>0</v>
      </c>
      <c r="AE345" s="122" t="s">
        <v>433</v>
      </c>
      <c r="AF345" s="92"/>
      <c r="AG345" s="92"/>
      <c r="AH345" s="92" t="s">
        <v>2</v>
      </c>
      <c r="AI345" s="92" t="s">
        <v>1785</v>
      </c>
      <c r="AJ345" s="92" t="s">
        <v>1787</v>
      </c>
      <c r="AK345" s="92" t="s">
        <v>1779</v>
      </c>
      <c r="AL345" s="92">
        <v>0</v>
      </c>
      <c r="AM345" s="92">
        <v>0</v>
      </c>
    </row>
    <row r="346" spans="2:39">
      <c r="B346" s="122">
        <v>2149</v>
      </c>
      <c r="C346" s="132">
        <v>131501</v>
      </c>
      <c r="D346" s="122">
        <v>45066</v>
      </c>
      <c r="E346" s="92" t="s">
        <v>1626</v>
      </c>
      <c r="F346" t="s">
        <v>1171</v>
      </c>
      <c r="I346" s="122">
        <v>1</v>
      </c>
      <c r="J346" s="92"/>
      <c r="K346" s="122">
        <v>0</v>
      </c>
      <c r="L346" s="92" t="s">
        <v>1170</v>
      </c>
      <c r="M346" s="92"/>
      <c r="N346" s="92" t="s">
        <v>1788</v>
      </c>
      <c r="O346" s="92" t="s">
        <v>1789</v>
      </c>
      <c r="P346" s="92" t="s">
        <v>683</v>
      </c>
      <c r="Q346" s="92"/>
      <c r="R346" s="92"/>
      <c r="S346" s="133">
        <v>42370</v>
      </c>
      <c r="T346" s="133">
        <v>42370</v>
      </c>
      <c r="U346" s="92" t="s">
        <v>1169</v>
      </c>
      <c r="V346" s="122">
        <v>300</v>
      </c>
      <c r="W346" s="122">
        <v>14040</v>
      </c>
      <c r="X346" s="113">
        <v>6050.04</v>
      </c>
      <c r="Y346" s="122">
        <v>14046</v>
      </c>
      <c r="Z346" s="113">
        <v>6050.04</v>
      </c>
      <c r="AA346" s="113">
        <v>0</v>
      </c>
      <c r="AB346" s="113">
        <v>0</v>
      </c>
      <c r="AC346" s="122">
        <v>51260</v>
      </c>
      <c r="AD346" s="113">
        <v>0</v>
      </c>
      <c r="AE346" s="122" t="s">
        <v>433</v>
      </c>
      <c r="AF346" s="92"/>
      <c r="AG346" s="92"/>
      <c r="AH346" s="92" t="s">
        <v>2</v>
      </c>
      <c r="AI346" s="92" t="s">
        <v>1785</v>
      </c>
      <c r="AJ346" s="92" t="s">
        <v>1787</v>
      </c>
      <c r="AK346" s="92" t="s">
        <v>1779</v>
      </c>
      <c r="AL346" s="92">
        <v>0</v>
      </c>
      <c r="AM346" s="92">
        <v>0</v>
      </c>
    </row>
    <row r="347" spans="2:39">
      <c r="B347" s="122">
        <v>2149</v>
      </c>
      <c r="C347" s="132">
        <v>131196</v>
      </c>
      <c r="D347" s="122" t="s">
        <v>433</v>
      </c>
      <c r="E347" s="92" t="s">
        <v>1626</v>
      </c>
      <c r="F347" t="s">
        <v>567</v>
      </c>
      <c r="I347" s="122">
        <v>624</v>
      </c>
      <c r="J347" s="92"/>
      <c r="K347" s="122">
        <v>0</v>
      </c>
      <c r="L347" s="92" t="s">
        <v>1138</v>
      </c>
      <c r="M347" s="92"/>
      <c r="N347" s="92" t="s">
        <v>646</v>
      </c>
      <c r="O347" s="92" t="s">
        <v>1789</v>
      </c>
      <c r="P347" s="92"/>
      <c r="Q347" s="92"/>
      <c r="R347" s="92"/>
      <c r="S347" s="133">
        <v>42429</v>
      </c>
      <c r="T347" s="133">
        <v>42429</v>
      </c>
      <c r="U347" s="92" t="s">
        <v>1168</v>
      </c>
      <c r="V347" s="122">
        <v>700</v>
      </c>
      <c r="W347" s="122">
        <v>14050</v>
      </c>
      <c r="X347" s="113">
        <v>35165.58</v>
      </c>
      <c r="Y347" s="122">
        <v>14056</v>
      </c>
      <c r="Z347" s="113">
        <v>35165.58</v>
      </c>
      <c r="AA347" s="113">
        <v>0</v>
      </c>
      <c r="AB347" s="113">
        <v>0</v>
      </c>
      <c r="AC347" s="122">
        <v>54260</v>
      </c>
      <c r="AD347" s="113">
        <v>0</v>
      </c>
      <c r="AE347" s="122" t="s">
        <v>433</v>
      </c>
      <c r="AF347" s="92"/>
      <c r="AG347" s="92"/>
      <c r="AH347" s="92" t="s">
        <v>2</v>
      </c>
      <c r="AI347" s="92" t="s">
        <v>1785</v>
      </c>
      <c r="AJ347" s="92" t="s">
        <v>1787</v>
      </c>
      <c r="AK347" s="92" t="s">
        <v>1779</v>
      </c>
      <c r="AL347" s="92">
        <v>0</v>
      </c>
      <c r="AM347" s="92">
        <v>0</v>
      </c>
    </row>
    <row r="348" spans="2:39">
      <c r="B348" s="122">
        <v>2149</v>
      </c>
      <c r="C348" s="132">
        <v>131090</v>
      </c>
      <c r="D348" s="122" t="s">
        <v>433</v>
      </c>
      <c r="E348" s="92" t="s">
        <v>1626</v>
      </c>
      <c r="F348" t="s">
        <v>1167</v>
      </c>
      <c r="I348" s="122">
        <v>9</v>
      </c>
      <c r="J348" s="92"/>
      <c r="K348" s="122">
        <v>0</v>
      </c>
      <c r="L348" s="92" t="s">
        <v>1163</v>
      </c>
      <c r="M348" s="92"/>
      <c r="N348" s="92" t="s">
        <v>646</v>
      </c>
      <c r="O348" s="92" t="s">
        <v>1789</v>
      </c>
      <c r="P348" s="92"/>
      <c r="Q348" s="92" t="s">
        <v>1796</v>
      </c>
      <c r="R348" s="92" t="s">
        <v>1794</v>
      </c>
      <c r="S348" s="133">
        <v>42417</v>
      </c>
      <c r="T348" s="133">
        <v>42417</v>
      </c>
      <c r="U348" s="92" t="s">
        <v>1166</v>
      </c>
      <c r="V348" s="122">
        <v>1200</v>
      </c>
      <c r="W348" s="122">
        <v>14050</v>
      </c>
      <c r="X348" s="113">
        <v>55830</v>
      </c>
      <c r="Y348" s="122">
        <v>14056</v>
      </c>
      <c r="Z348" s="113">
        <v>37995.42</v>
      </c>
      <c r="AA348" s="113">
        <v>17834.580000000002</v>
      </c>
      <c r="AB348" s="113">
        <v>1550.84</v>
      </c>
      <c r="AC348" s="122">
        <v>54260</v>
      </c>
      <c r="AD348" s="113">
        <v>387.71</v>
      </c>
      <c r="AE348" s="122" t="s">
        <v>433</v>
      </c>
      <c r="AF348" s="92"/>
      <c r="AG348" s="92"/>
      <c r="AH348" s="92" t="s">
        <v>2</v>
      </c>
      <c r="AI348" s="92" t="s">
        <v>1785</v>
      </c>
      <c r="AJ348" s="92" t="s">
        <v>1787</v>
      </c>
      <c r="AK348" s="92" t="s">
        <v>1779</v>
      </c>
      <c r="AL348" s="92">
        <v>0</v>
      </c>
      <c r="AM348" s="92">
        <v>0</v>
      </c>
    </row>
    <row r="349" spans="2:39">
      <c r="B349" s="122">
        <v>2149</v>
      </c>
      <c r="C349" s="132">
        <v>130993</v>
      </c>
      <c r="D349" s="122" t="s">
        <v>433</v>
      </c>
      <c r="E349" s="92" t="s">
        <v>1626</v>
      </c>
      <c r="F349" t="s">
        <v>1167</v>
      </c>
      <c r="I349" s="122">
        <v>3</v>
      </c>
      <c r="J349" s="92"/>
      <c r="K349" s="122">
        <v>0</v>
      </c>
      <c r="L349" s="92" t="s">
        <v>1163</v>
      </c>
      <c r="M349" s="92"/>
      <c r="N349" s="92" t="s">
        <v>646</v>
      </c>
      <c r="O349" s="92" t="s">
        <v>1789</v>
      </c>
      <c r="P349" s="92"/>
      <c r="Q349" s="92" t="s">
        <v>1796</v>
      </c>
      <c r="R349" s="92" t="s">
        <v>1794</v>
      </c>
      <c r="S349" s="133">
        <v>42417</v>
      </c>
      <c r="T349" s="133">
        <v>42417</v>
      </c>
      <c r="U349" s="92" t="s">
        <v>1166</v>
      </c>
      <c r="V349" s="122">
        <v>1200</v>
      </c>
      <c r="W349" s="122">
        <v>14050</v>
      </c>
      <c r="X349" s="113">
        <v>17780</v>
      </c>
      <c r="Y349" s="122">
        <v>14056</v>
      </c>
      <c r="Z349" s="113">
        <v>12100.29</v>
      </c>
      <c r="AA349" s="113">
        <v>5679.7099999999991</v>
      </c>
      <c r="AB349" s="113">
        <v>493.88</v>
      </c>
      <c r="AC349" s="122">
        <v>54260</v>
      </c>
      <c r="AD349" s="113">
        <v>123.47</v>
      </c>
      <c r="AE349" s="122" t="s">
        <v>433</v>
      </c>
      <c r="AF349" s="92"/>
      <c r="AG349" s="92"/>
      <c r="AH349" s="92" t="s">
        <v>2</v>
      </c>
      <c r="AI349" s="92" t="s">
        <v>1785</v>
      </c>
      <c r="AJ349" s="92" t="s">
        <v>1787</v>
      </c>
      <c r="AK349" s="92" t="s">
        <v>1779</v>
      </c>
      <c r="AL349" s="92">
        <v>0</v>
      </c>
      <c r="AM349" s="92">
        <v>0</v>
      </c>
    </row>
    <row r="350" spans="2:39">
      <c r="B350" s="122">
        <v>2149</v>
      </c>
      <c r="C350" s="132">
        <v>129381</v>
      </c>
      <c r="D350" s="122" t="s">
        <v>433</v>
      </c>
      <c r="E350" s="92" t="s">
        <v>1626</v>
      </c>
      <c r="F350" t="s">
        <v>1165</v>
      </c>
      <c r="I350" s="122">
        <v>3</v>
      </c>
      <c r="J350" s="92"/>
      <c r="K350" s="122">
        <v>0</v>
      </c>
      <c r="L350" s="92" t="s">
        <v>1163</v>
      </c>
      <c r="M350" s="92"/>
      <c r="N350" s="92" t="s">
        <v>646</v>
      </c>
      <c r="O350" s="92" t="s">
        <v>1789</v>
      </c>
      <c r="P350" s="92"/>
      <c r="Q350" s="92" t="s">
        <v>1796</v>
      </c>
      <c r="R350" s="92" t="s">
        <v>1794</v>
      </c>
      <c r="S350" s="133">
        <v>42370</v>
      </c>
      <c r="T350" s="133">
        <v>42370</v>
      </c>
      <c r="U350" s="92" t="s">
        <v>1162</v>
      </c>
      <c r="V350" s="122">
        <v>1200</v>
      </c>
      <c r="W350" s="122">
        <v>14050</v>
      </c>
      <c r="X350" s="113">
        <v>35560</v>
      </c>
      <c r="Y350" s="122">
        <v>14056</v>
      </c>
      <c r="Z350" s="113">
        <v>24694.400000000001</v>
      </c>
      <c r="AA350" s="113">
        <v>10865.599999999999</v>
      </c>
      <c r="AB350" s="113">
        <v>987.76</v>
      </c>
      <c r="AC350" s="122">
        <v>54260</v>
      </c>
      <c r="AD350" s="113">
        <v>246.94</v>
      </c>
      <c r="AE350" s="122" t="s">
        <v>433</v>
      </c>
      <c r="AF350" s="92"/>
      <c r="AG350" s="92"/>
      <c r="AH350" s="92" t="s">
        <v>2</v>
      </c>
      <c r="AI350" s="92" t="s">
        <v>1785</v>
      </c>
      <c r="AJ350" s="92" t="s">
        <v>1787</v>
      </c>
      <c r="AK350" s="92" t="s">
        <v>1779</v>
      </c>
      <c r="AL350" s="92">
        <v>0</v>
      </c>
      <c r="AM350" s="92">
        <v>0</v>
      </c>
    </row>
    <row r="351" spans="2:39">
      <c r="B351" s="122">
        <v>2149</v>
      </c>
      <c r="C351" s="132">
        <v>128180</v>
      </c>
      <c r="D351" s="122" t="s">
        <v>433</v>
      </c>
      <c r="E351" s="92" t="s">
        <v>1626</v>
      </c>
      <c r="F351" t="s">
        <v>1164</v>
      </c>
      <c r="I351" s="122">
        <v>3</v>
      </c>
      <c r="J351" s="92"/>
      <c r="K351" s="122">
        <v>0</v>
      </c>
      <c r="L351" s="92" t="s">
        <v>1163</v>
      </c>
      <c r="M351" s="92"/>
      <c r="N351" s="92" t="s">
        <v>646</v>
      </c>
      <c r="O351" s="92" t="s">
        <v>1789</v>
      </c>
      <c r="P351" s="92"/>
      <c r="Q351" s="92"/>
      <c r="R351" s="92"/>
      <c r="S351" s="133">
        <v>42331</v>
      </c>
      <c r="T351" s="133">
        <v>42331</v>
      </c>
      <c r="U351" s="92" t="s">
        <v>1162</v>
      </c>
      <c r="V351" s="122">
        <v>1200</v>
      </c>
      <c r="W351" s="122">
        <v>14050</v>
      </c>
      <c r="X351" s="113">
        <v>17780</v>
      </c>
      <c r="Y351" s="122">
        <v>14056</v>
      </c>
      <c r="Z351" s="113">
        <v>12470.71</v>
      </c>
      <c r="AA351" s="113">
        <v>5309.2900000000009</v>
      </c>
      <c r="AB351" s="113">
        <v>493.88</v>
      </c>
      <c r="AC351" s="122">
        <v>54260</v>
      </c>
      <c r="AD351" s="113">
        <v>123.47</v>
      </c>
      <c r="AE351" s="122" t="s">
        <v>433</v>
      </c>
      <c r="AF351" s="92"/>
      <c r="AG351" s="92"/>
      <c r="AH351" s="92" t="s">
        <v>2</v>
      </c>
      <c r="AI351" s="92" t="s">
        <v>1785</v>
      </c>
      <c r="AJ351" s="92" t="s">
        <v>1787</v>
      </c>
      <c r="AK351" s="92" t="s">
        <v>1779</v>
      </c>
      <c r="AL351" s="92">
        <v>0</v>
      </c>
      <c r="AM351" s="92">
        <v>0</v>
      </c>
    </row>
    <row r="352" spans="2:39">
      <c r="B352" s="122">
        <v>2149</v>
      </c>
      <c r="C352" s="132">
        <v>126898</v>
      </c>
      <c r="D352" s="122" t="s">
        <v>433</v>
      </c>
      <c r="E352" s="92" t="s">
        <v>1626</v>
      </c>
      <c r="F352" t="s">
        <v>1161</v>
      </c>
      <c r="I352" s="122">
        <v>1</v>
      </c>
      <c r="J352" s="92" t="s">
        <v>616</v>
      </c>
      <c r="K352" s="122">
        <v>1979</v>
      </c>
      <c r="L352" s="92" t="s">
        <v>1090</v>
      </c>
      <c r="M352" s="92" t="s">
        <v>1090</v>
      </c>
      <c r="N352" s="92" t="s">
        <v>1788</v>
      </c>
      <c r="O352" s="92" t="s">
        <v>1789</v>
      </c>
      <c r="P352" s="92" t="s">
        <v>1817</v>
      </c>
      <c r="Q352" s="92"/>
      <c r="R352" s="92"/>
      <c r="S352" s="133">
        <v>39772</v>
      </c>
      <c r="T352" s="133">
        <v>39772</v>
      </c>
      <c r="U352" s="92"/>
      <c r="V352" s="122">
        <v>300</v>
      </c>
      <c r="W352" s="122">
        <v>14040</v>
      </c>
      <c r="X352" s="113">
        <v>2500</v>
      </c>
      <c r="Y352" s="122">
        <v>14046</v>
      </c>
      <c r="Z352" s="113">
        <v>2500</v>
      </c>
      <c r="AA352" s="113">
        <v>0</v>
      </c>
      <c r="AB352" s="113">
        <v>0</v>
      </c>
      <c r="AC352" s="122">
        <v>51260</v>
      </c>
      <c r="AD352" s="113">
        <v>0</v>
      </c>
      <c r="AE352" s="122" t="s">
        <v>663</v>
      </c>
      <c r="AF352" s="92" t="s">
        <v>1160</v>
      </c>
      <c r="AG352" s="92">
        <v>8012</v>
      </c>
      <c r="AH352" s="92" t="s">
        <v>2</v>
      </c>
      <c r="AI352" s="92" t="s">
        <v>1785</v>
      </c>
      <c r="AJ352" s="92" t="s">
        <v>1787</v>
      </c>
      <c r="AK352" s="92" t="s">
        <v>1779</v>
      </c>
      <c r="AL352" s="92">
        <v>0</v>
      </c>
      <c r="AM352" s="92">
        <v>0</v>
      </c>
    </row>
    <row r="353" spans="2:39">
      <c r="B353" s="122">
        <v>2149</v>
      </c>
      <c r="C353" s="132">
        <v>124277</v>
      </c>
      <c r="D353" s="122" t="s">
        <v>433</v>
      </c>
      <c r="E353" s="92" t="s">
        <v>1626</v>
      </c>
      <c r="F353" t="s">
        <v>1159</v>
      </c>
      <c r="I353" s="122">
        <v>1</v>
      </c>
      <c r="J353" s="92"/>
      <c r="K353" s="122">
        <v>0</v>
      </c>
      <c r="L353" s="92" t="s">
        <v>1158</v>
      </c>
      <c r="M353" s="92"/>
      <c r="N353" s="92" t="s">
        <v>1801</v>
      </c>
      <c r="O353" s="92" t="s">
        <v>1789</v>
      </c>
      <c r="P353" s="92"/>
      <c r="Q353" s="92"/>
      <c r="R353" s="92"/>
      <c r="S353" s="133">
        <v>42200</v>
      </c>
      <c r="T353" s="133">
        <v>42200</v>
      </c>
      <c r="U353" s="92" t="s">
        <v>1157</v>
      </c>
      <c r="V353" s="122">
        <v>500</v>
      </c>
      <c r="W353" s="122">
        <v>14070</v>
      </c>
      <c r="X353" s="113">
        <v>4937</v>
      </c>
      <c r="Y353" s="122">
        <v>14076</v>
      </c>
      <c r="Z353" s="113">
        <v>4937</v>
      </c>
      <c r="AA353" s="113">
        <v>0</v>
      </c>
      <c r="AB353" s="113">
        <v>0</v>
      </c>
      <c r="AC353" s="122">
        <v>51260</v>
      </c>
      <c r="AD353" s="113">
        <v>0</v>
      </c>
      <c r="AE353" s="122" t="s">
        <v>433</v>
      </c>
      <c r="AF353" s="92"/>
      <c r="AG353" s="92"/>
      <c r="AH353" s="92" t="s">
        <v>2</v>
      </c>
      <c r="AI353" s="92" t="s">
        <v>1785</v>
      </c>
      <c r="AJ353" s="92" t="s">
        <v>1787</v>
      </c>
      <c r="AK353" s="92" t="s">
        <v>1779</v>
      </c>
      <c r="AL353" s="92">
        <v>0</v>
      </c>
      <c r="AM353" s="92">
        <v>0</v>
      </c>
    </row>
    <row r="354" spans="2:39">
      <c r="B354" s="122">
        <v>2149</v>
      </c>
      <c r="C354" s="132">
        <v>124223</v>
      </c>
      <c r="D354" s="122">
        <v>123341</v>
      </c>
      <c r="E354" s="92" t="s">
        <v>1626</v>
      </c>
      <c r="F354" t="s">
        <v>1156</v>
      </c>
      <c r="I354" s="122">
        <v>1</v>
      </c>
      <c r="J354" s="92"/>
      <c r="K354" s="122">
        <v>0</v>
      </c>
      <c r="L354" s="92" t="s">
        <v>620</v>
      </c>
      <c r="M354" s="92"/>
      <c r="N354" s="92" t="s">
        <v>1788</v>
      </c>
      <c r="O354" s="92" t="s">
        <v>1789</v>
      </c>
      <c r="P354" s="92" t="s">
        <v>683</v>
      </c>
      <c r="Q354" s="92"/>
      <c r="R354" s="92"/>
      <c r="S354" s="133">
        <v>42185</v>
      </c>
      <c r="T354" s="133">
        <v>42185</v>
      </c>
      <c r="U354" s="92" t="s">
        <v>1145</v>
      </c>
      <c r="V354" s="122">
        <v>1000</v>
      </c>
      <c r="W354" s="122">
        <v>14040</v>
      </c>
      <c r="X354" s="113">
        <v>882</v>
      </c>
      <c r="Y354" s="122">
        <v>14046</v>
      </c>
      <c r="Z354" s="113">
        <v>779.1</v>
      </c>
      <c r="AA354" s="113">
        <v>102.89999999999998</v>
      </c>
      <c r="AB354" s="113">
        <v>29.4</v>
      </c>
      <c r="AC354" s="122">
        <v>51260</v>
      </c>
      <c r="AD354" s="113">
        <v>7.35</v>
      </c>
      <c r="AE354" s="122" t="s">
        <v>433</v>
      </c>
      <c r="AF354" s="92"/>
      <c r="AG354" s="92"/>
      <c r="AH354" s="92" t="s">
        <v>2</v>
      </c>
      <c r="AI354" s="92" t="s">
        <v>1785</v>
      </c>
      <c r="AJ354" s="92" t="s">
        <v>1787</v>
      </c>
      <c r="AK354" s="92" t="s">
        <v>1779</v>
      </c>
      <c r="AL354" s="92">
        <v>0</v>
      </c>
      <c r="AM354" s="92">
        <v>0</v>
      </c>
    </row>
    <row r="355" spans="2:39">
      <c r="B355" s="122">
        <v>2149</v>
      </c>
      <c r="C355" s="132">
        <v>124068</v>
      </c>
      <c r="D355" s="122" t="s">
        <v>433</v>
      </c>
      <c r="E355" s="92" t="s">
        <v>1626</v>
      </c>
      <c r="F355" t="s">
        <v>1155</v>
      </c>
      <c r="I355" s="122">
        <v>44</v>
      </c>
      <c r="J355" s="92"/>
      <c r="K355" s="122">
        <v>0</v>
      </c>
      <c r="L355" s="92" t="s">
        <v>791</v>
      </c>
      <c r="M355" s="92"/>
      <c r="N355" s="92" t="s">
        <v>646</v>
      </c>
      <c r="O355" s="92" t="s">
        <v>1789</v>
      </c>
      <c r="P355" s="92"/>
      <c r="Q355" s="92" t="s">
        <v>1792</v>
      </c>
      <c r="R355" s="92" t="s">
        <v>1791</v>
      </c>
      <c r="S355" s="133">
        <v>42206</v>
      </c>
      <c r="T355" s="133">
        <v>42206</v>
      </c>
      <c r="U355" s="92" t="s">
        <v>1153</v>
      </c>
      <c r="V355" s="122">
        <v>1200</v>
      </c>
      <c r="W355" s="122">
        <v>14050</v>
      </c>
      <c r="X355" s="113">
        <v>20328</v>
      </c>
      <c r="Y355" s="122">
        <v>14056</v>
      </c>
      <c r="Z355" s="113">
        <v>14822.51</v>
      </c>
      <c r="AA355" s="113">
        <v>5505.49</v>
      </c>
      <c r="AB355" s="113">
        <v>564.67999999999995</v>
      </c>
      <c r="AC355" s="122">
        <v>54260</v>
      </c>
      <c r="AD355" s="113">
        <v>141.16999999999999</v>
      </c>
      <c r="AE355" s="122" t="s">
        <v>433</v>
      </c>
      <c r="AF355" s="92"/>
      <c r="AG355" s="92"/>
      <c r="AH355" s="92" t="s">
        <v>2</v>
      </c>
      <c r="AI355" s="92" t="s">
        <v>1785</v>
      </c>
      <c r="AJ355" s="92" t="s">
        <v>1787</v>
      </c>
      <c r="AK355" s="92" t="s">
        <v>1779</v>
      </c>
      <c r="AL355" s="92">
        <v>0</v>
      </c>
      <c r="AM355" s="92">
        <v>0</v>
      </c>
    </row>
    <row r="356" spans="2:39">
      <c r="B356" s="122">
        <v>2149</v>
      </c>
      <c r="C356" s="132">
        <v>124067</v>
      </c>
      <c r="D356" s="122" t="s">
        <v>433</v>
      </c>
      <c r="E356" s="92" t="s">
        <v>1626</v>
      </c>
      <c r="F356" t="s">
        <v>1154</v>
      </c>
      <c r="I356" s="122">
        <v>25</v>
      </c>
      <c r="J356" s="92"/>
      <c r="K356" s="122">
        <v>0</v>
      </c>
      <c r="L356" s="92" t="s">
        <v>791</v>
      </c>
      <c r="M356" s="92"/>
      <c r="N356" s="92" t="s">
        <v>646</v>
      </c>
      <c r="O356" s="92" t="s">
        <v>1789</v>
      </c>
      <c r="P356" s="92"/>
      <c r="Q356" s="92" t="s">
        <v>1790</v>
      </c>
      <c r="R356" s="92" t="s">
        <v>1791</v>
      </c>
      <c r="S356" s="133">
        <v>42206</v>
      </c>
      <c r="T356" s="133">
        <v>42206</v>
      </c>
      <c r="U356" s="92" t="s">
        <v>1153</v>
      </c>
      <c r="V356" s="122">
        <v>1200</v>
      </c>
      <c r="W356" s="122">
        <v>14050</v>
      </c>
      <c r="X356" s="113">
        <v>10875</v>
      </c>
      <c r="Y356" s="122">
        <v>14056</v>
      </c>
      <c r="Z356" s="113">
        <v>7929.69</v>
      </c>
      <c r="AA356" s="113">
        <v>2945.3100000000004</v>
      </c>
      <c r="AB356" s="113">
        <v>302.08</v>
      </c>
      <c r="AC356" s="122">
        <v>54260</v>
      </c>
      <c r="AD356" s="113">
        <v>75.52</v>
      </c>
      <c r="AE356" s="122" t="s">
        <v>433</v>
      </c>
      <c r="AF356" s="92"/>
      <c r="AG356" s="92"/>
      <c r="AH356" s="92" t="s">
        <v>2</v>
      </c>
      <c r="AI356" s="92" t="s">
        <v>1785</v>
      </c>
      <c r="AJ356" s="92" t="s">
        <v>1787</v>
      </c>
      <c r="AK356" s="92" t="s">
        <v>1779</v>
      </c>
      <c r="AL356" s="92">
        <v>0</v>
      </c>
      <c r="AM356" s="92">
        <v>0</v>
      </c>
    </row>
    <row r="357" spans="2:39">
      <c r="B357" s="122">
        <v>2149</v>
      </c>
      <c r="C357" s="132">
        <v>123453</v>
      </c>
      <c r="D357" s="122" t="s">
        <v>433</v>
      </c>
      <c r="E357" s="92" t="s">
        <v>1626</v>
      </c>
      <c r="F357" t="s">
        <v>1152</v>
      </c>
      <c r="I357" s="122">
        <v>10</v>
      </c>
      <c r="J357" s="92"/>
      <c r="K357" s="122">
        <v>0</v>
      </c>
      <c r="L357" s="92" t="s">
        <v>1138</v>
      </c>
      <c r="M357" s="92"/>
      <c r="N357" s="92" t="s">
        <v>646</v>
      </c>
      <c r="O357" s="92" t="s">
        <v>1789</v>
      </c>
      <c r="P357" s="92"/>
      <c r="Q357" s="92"/>
      <c r="R357" s="92"/>
      <c r="S357" s="133">
        <v>42170</v>
      </c>
      <c r="T357" s="133">
        <v>42170</v>
      </c>
      <c r="U357" s="92" t="s">
        <v>1148</v>
      </c>
      <c r="V357" s="122">
        <v>700</v>
      </c>
      <c r="W357" s="122">
        <v>14050</v>
      </c>
      <c r="X357" s="113">
        <v>554.44000000000005</v>
      </c>
      <c r="Y357" s="122">
        <v>14056</v>
      </c>
      <c r="Z357" s="113">
        <v>554.44000000000005</v>
      </c>
      <c r="AA357" s="113">
        <v>0</v>
      </c>
      <c r="AB357" s="113">
        <v>0</v>
      </c>
      <c r="AC357" s="122">
        <v>54260</v>
      </c>
      <c r="AD357" s="113">
        <v>0</v>
      </c>
      <c r="AE357" s="122" t="s">
        <v>433</v>
      </c>
      <c r="AF357" s="92"/>
      <c r="AG357" s="92"/>
      <c r="AH357" s="92" t="s">
        <v>2</v>
      </c>
      <c r="AI357" s="92" t="s">
        <v>1785</v>
      </c>
      <c r="AJ357" s="92" t="s">
        <v>1787</v>
      </c>
      <c r="AK357" s="92" t="s">
        <v>1779</v>
      </c>
      <c r="AL357" s="92">
        <v>0</v>
      </c>
      <c r="AM357" s="92">
        <v>0</v>
      </c>
    </row>
    <row r="358" spans="2:39">
      <c r="B358" s="122">
        <v>2149</v>
      </c>
      <c r="C358" s="132">
        <v>123452</v>
      </c>
      <c r="D358" s="122" t="s">
        <v>433</v>
      </c>
      <c r="E358" s="92" t="s">
        <v>1626</v>
      </c>
      <c r="F358" t="s">
        <v>1151</v>
      </c>
      <c r="I358" s="122">
        <v>200</v>
      </c>
      <c r="J358" s="92"/>
      <c r="K358" s="122">
        <v>0</v>
      </c>
      <c r="L358" s="92" t="s">
        <v>1138</v>
      </c>
      <c r="M358" s="92"/>
      <c r="N358" s="92" t="s">
        <v>646</v>
      </c>
      <c r="O358" s="92" t="s">
        <v>1789</v>
      </c>
      <c r="P358" s="92"/>
      <c r="Q358" s="92"/>
      <c r="R358" s="92"/>
      <c r="S358" s="133">
        <v>42170</v>
      </c>
      <c r="T358" s="133">
        <v>42170</v>
      </c>
      <c r="U358" s="92" t="s">
        <v>1148</v>
      </c>
      <c r="V358" s="122">
        <v>700</v>
      </c>
      <c r="W358" s="122">
        <v>14050</v>
      </c>
      <c r="X358" s="113">
        <v>12716.2</v>
      </c>
      <c r="Y358" s="122">
        <v>14056</v>
      </c>
      <c r="Z358" s="113">
        <v>12716.2</v>
      </c>
      <c r="AA358" s="113">
        <v>0</v>
      </c>
      <c r="AB358" s="113">
        <v>0</v>
      </c>
      <c r="AC358" s="122">
        <v>54260</v>
      </c>
      <c r="AD358" s="113">
        <v>0</v>
      </c>
      <c r="AE358" s="122" t="s">
        <v>433</v>
      </c>
      <c r="AF358" s="92"/>
      <c r="AG358" s="92"/>
      <c r="AH358" s="92" t="s">
        <v>2</v>
      </c>
      <c r="AI358" s="92" t="s">
        <v>1785</v>
      </c>
      <c r="AJ358" s="92" t="s">
        <v>1787</v>
      </c>
      <c r="AK358" s="92" t="s">
        <v>1779</v>
      </c>
      <c r="AL358" s="92">
        <v>0</v>
      </c>
      <c r="AM358" s="92">
        <v>0</v>
      </c>
    </row>
    <row r="359" spans="2:39">
      <c r="B359" s="122">
        <v>2149</v>
      </c>
      <c r="C359" s="132">
        <v>123451</v>
      </c>
      <c r="D359" s="122" t="s">
        <v>433</v>
      </c>
      <c r="E359" s="92" t="s">
        <v>1626</v>
      </c>
      <c r="F359" t="s">
        <v>1150</v>
      </c>
      <c r="I359" s="122">
        <v>40</v>
      </c>
      <c r="J359" s="92"/>
      <c r="K359" s="122">
        <v>0</v>
      </c>
      <c r="L359" s="92" t="s">
        <v>1138</v>
      </c>
      <c r="M359" s="92"/>
      <c r="N359" s="92" t="s">
        <v>646</v>
      </c>
      <c r="O359" s="92" t="s">
        <v>1789</v>
      </c>
      <c r="P359" s="92"/>
      <c r="Q359" s="92"/>
      <c r="R359" s="92"/>
      <c r="S359" s="133">
        <v>42170</v>
      </c>
      <c r="T359" s="133">
        <v>42170</v>
      </c>
      <c r="U359" s="92" t="s">
        <v>1148</v>
      </c>
      <c r="V359" s="122">
        <v>700</v>
      </c>
      <c r="W359" s="122">
        <v>14050</v>
      </c>
      <c r="X359" s="113">
        <v>2781.94</v>
      </c>
      <c r="Y359" s="122">
        <v>14056</v>
      </c>
      <c r="Z359" s="113">
        <v>2781.94</v>
      </c>
      <c r="AA359" s="113">
        <v>0</v>
      </c>
      <c r="AB359" s="113">
        <v>0</v>
      </c>
      <c r="AC359" s="122">
        <v>54260</v>
      </c>
      <c r="AD359" s="113">
        <v>0</v>
      </c>
      <c r="AE359" s="122" t="s">
        <v>433</v>
      </c>
      <c r="AF359" s="92"/>
      <c r="AG359" s="92"/>
      <c r="AH359" s="92" t="s">
        <v>2</v>
      </c>
      <c r="AI359" s="92" t="s">
        <v>1785</v>
      </c>
      <c r="AJ359" s="92" t="s">
        <v>1787</v>
      </c>
      <c r="AK359" s="92" t="s">
        <v>1779</v>
      </c>
      <c r="AL359" s="92">
        <v>0</v>
      </c>
      <c r="AM359" s="92">
        <v>0</v>
      </c>
    </row>
    <row r="360" spans="2:39">
      <c r="B360" s="122">
        <v>2149</v>
      </c>
      <c r="C360" s="132">
        <v>123450</v>
      </c>
      <c r="D360" s="122" t="s">
        <v>433</v>
      </c>
      <c r="E360" s="92" t="s">
        <v>1626</v>
      </c>
      <c r="F360" t="s">
        <v>1149</v>
      </c>
      <c r="I360" s="122">
        <v>760</v>
      </c>
      <c r="J360" s="92"/>
      <c r="K360" s="122">
        <v>0</v>
      </c>
      <c r="L360" s="92" t="s">
        <v>1138</v>
      </c>
      <c r="M360" s="92"/>
      <c r="N360" s="92" t="s">
        <v>646</v>
      </c>
      <c r="O360" s="92" t="s">
        <v>1789</v>
      </c>
      <c r="P360" s="92"/>
      <c r="Q360" s="92"/>
      <c r="R360" s="92"/>
      <c r="S360" s="133">
        <v>42170</v>
      </c>
      <c r="T360" s="133">
        <v>42170</v>
      </c>
      <c r="U360" s="92" t="s">
        <v>1148</v>
      </c>
      <c r="V360" s="122">
        <v>700</v>
      </c>
      <c r="W360" s="122">
        <v>14050</v>
      </c>
      <c r="X360" s="113">
        <v>28036.400000000001</v>
      </c>
      <c r="Y360" s="122">
        <v>14056</v>
      </c>
      <c r="Z360" s="113">
        <v>28036.400000000001</v>
      </c>
      <c r="AA360" s="113">
        <v>0</v>
      </c>
      <c r="AB360" s="113">
        <v>0</v>
      </c>
      <c r="AC360" s="122">
        <v>54260</v>
      </c>
      <c r="AD360" s="113">
        <v>0</v>
      </c>
      <c r="AE360" s="122" t="s">
        <v>433</v>
      </c>
      <c r="AF360" s="92"/>
      <c r="AG360" s="92"/>
      <c r="AH360" s="92" t="s">
        <v>2</v>
      </c>
      <c r="AI360" s="92" t="s">
        <v>1785</v>
      </c>
      <c r="AJ360" s="92" t="s">
        <v>1787</v>
      </c>
      <c r="AK360" s="92" t="s">
        <v>1779</v>
      </c>
      <c r="AL360" s="92">
        <v>0</v>
      </c>
      <c r="AM360" s="92">
        <v>0</v>
      </c>
    </row>
    <row r="361" spans="2:39">
      <c r="B361" s="122">
        <v>2149</v>
      </c>
      <c r="C361" s="132">
        <v>123449</v>
      </c>
      <c r="D361" s="122" t="s">
        <v>433</v>
      </c>
      <c r="E361" s="92" t="s">
        <v>1626</v>
      </c>
      <c r="F361" t="s">
        <v>1149</v>
      </c>
      <c r="I361" s="122">
        <v>840</v>
      </c>
      <c r="J361" s="92"/>
      <c r="K361" s="122">
        <v>0</v>
      </c>
      <c r="L361" s="92" t="s">
        <v>1138</v>
      </c>
      <c r="M361" s="92"/>
      <c r="N361" s="92" t="s">
        <v>646</v>
      </c>
      <c r="O361" s="92" t="s">
        <v>1789</v>
      </c>
      <c r="P361" s="92"/>
      <c r="Q361" s="92"/>
      <c r="R361" s="92"/>
      <c r="S361" s="133">
        <v>42170</v>
      </c>
      <c r="T361" s="133">
        <v>42170</v>
      </c>
      <c r="U361" s="92" t="s">
        <v>1148</v>
      </c>
      <c r="V361" s="122">
        <v>700</v>
      </c>
      <c r="W361" s="122">
        <v>14050</v>
      </c>
      <c r="X361" s="113">
        <v>30987.599999999999</v>
      </c>
      <c r="Y361" s="122">
        <v>14056</v>
      </c>
      <c r="Z361" s="113">
        <v>30987.599999999999</v>
      </c>
      <c r="AA361" s="113">
        <v>0</v>
      </c>
      <c r="AB361" s="113">
        <v>0</v>
      </c>
      <c r="AC361" s="122">
        <v>54260</v>
      </c>
      <c r="AD361" s="113">
        <v>0</v>
      </c>
      <c r="AE361" s="122" t="s">
        <v>433</v>
      </c>
      <c r="AF361" s="92"/>
      <c r="AG361" s="92"/>
      <c r="AH361" s="92" t="s">
        <v>2</v>
      </c>
      <c r="AI361" s="92" t="s">
        <v>1785</v>
      </c>
      <c r="AJ361" s="92" t="s">
        <v>1787</v>
      </c>
      <c r="AK361" s="92" t="s">
        <v>1779</v>
      </c>
      <c r="AL361" s="92">
        <v>0</v>
      </c>
      <c r="AM361" s="92">
        <v>0</v>
      </c>
    </row>
    <row r="362" spans="2:39">
      <c r="B362" s="122">
        <v>2149</v>
      </c>
      <c r="C362" s="132">
        <v>123341</v>
      </c>
      <c r="D362" s="122" t="s">
        <v>433</v>
      </c>
      <c r="E362" s="92" t="s">
        <v>1626</v>
      </c>
      <c r="F362" t="s">
        <v>1147</v>
      </c>
      <c r="I362" s="122">
        <v>1</v>
      </c>
      <c r="J362" s="92" t="s">
        <v>594</v>
      </c>
      <c r="K362" s="122">
        <v>2016</v>
      </c>
      <c r="L362" s="92" t="s">
        <v>1146</v>
      </c>
      <c r="M362" s="92" t="s">
        <v>854</v>
      </c>
      <c r="N362" s="92" t="s">
        <v>1788</v>
      </c>
      <c r="O362" s="92" t="s">
        <v>1789</v>
      </c>
      <c r="P362" s="92" t="s">
        <v>1814</v>
      </c>
      <c r="Q362" s="92"/>
      <c r="R362" s="92"/>
      <c r="S362" s="133">
        <v>42185</v>
      </c>
      <c r="T362" s="133">
        <v>42185</v>
      </c>
      <c r="U362" s="92" t="s">
        <v>1145</v>
      </c>
      <c r="V362" s="122">
        <v>1000</v>
      </c>
      <c r="W362" s="122">
        <v>14040</v>
      </c>
      <c r="X362" s="113">
        <v>313311.01</v>
      </c>
      <c r="Y362" s="122">
        <v>14046</v>
      </c>
      <c r="Z362" s="113">
        <v>276758.07</v>
      </c>
      <c r="AA362" s="113">
        <v>36552.94</v>
      </c>
      <c r="AB362" s="113">
        <v>10443.719999999999</v>
      </c>
      <c r="AC362" s="122">
        <v>51260</v>
      </c>
      <c r="AD362" s="113">
        <v>2610.9299999999998</v>
      </c>
      <c r="AE362" s="122" t="s">
        <v>433</v>
      </c>
      <c r="AF362" s="92"/>
      <c r="AG362" s="92">
        <v>12</v>
      </c>
      <c r="AH362" s="92" t="s">
        <v>2</v>
      </c>
      <c r="AI362" s="92" t="s">
        <v>1785</v>
      </c>
      <c r="AJ362" s="92" t="s">
        <v>1787</v>
      </c>
      <c r="AK362" s="92" t="s">
        <v>1779</v>
      </c>
      <c r="AL362" s="92">
        <v>0</v>
      </c>
      <c r="AM362" s="92">
        <v>0</v>
      </c>
    </row>
    <row r="363" spans="2:39">
      <c r="B363" s="122">
        <v>2149</v>
      </c>
      <c r="C363" s="132">
        <v>122702</v>
      </c>
      <c r="D363" s="122" t="s">
        <v>433</v>
      </c>
      <c r="E363" s="92" t="s">
        <v>1626</v>
      </c>
      <c r="F363" t="s">
        <v>1144</v>
      </c>
      <c r="I363" s="122">
        <v>1</v>
      </c>
      <c r="J363" s="92"/>
      <c r="K363" s="122">
        <v>0</v>
      </c>
      <c r="L363" s="92" t="s">
        <v>978</v>
      </c>
      <c r="M363" s="92"/>
      <c r="N363" s="92" t="s">
        <v>1798</v>
      </c>
      <c r="O363" s="92" t="s">
        <v>1789</v>
      </c>
      <c r="P363" s="92"/>
      <c r="Q363" s="92"/>
      <c r="R363" s="92"/>
      <c r="S363" s="133">
        <v>42124</v>
      </c>
      <c r="T363" s="133">
        <v>42124</v>
      </c>
      <c r="U363" s="92" t="s">
        <v>1143</v>
      </c>
      <c r="V363" s="122">
        <v>300</v>
      </c>
      <c r="W363" s="122">
        <v>14110</v>
      </c>
      <c r="X363" s="113">
        <v>655</v>
      </c>
      <c r="Y363" s="122">
        <v>14116</v>
      </c>
      <c r="Z363" s="113">
        <v>655</v>
      </c>
      <c r="AA363" s="113">
        <v>0</v>
      </c>
      <c r="AB363" s="113">
        <v>0</v>
      </c>
      <c r="AC363" s="122">
        <v>70260</v>
      </c>
      <c r="AD363" s="113">
        <v>0</v>
      </c>
      <c r="AE363" s="122" t="s">
        <v>433</v>
      </c>
      <c r="AF363" s="92"/>
      <c r="AG363" s="92"/>
      <c r="AH363" s="92" t="s">
        <v>2</v>
      </c>
      <c r="AI363" s="92" t="s">
        <v>1785</v>
      </c>
      <c r="AJ363" s="92" t="s">
        <v>1787</v>
      </c>
      <c r="AK363" s="92" t="s">
        <v>1779</v>
      </c>
      <c r="AL363" s="92">
        <v>0</v>
      </c>
      <c r="AM363" s="92">
        <v>0</v>
      </c>
    </row>
    <row r="364" spans="2:39">
      <c r="B364" s="122">
        <v>2149</v>
      </c>
      <c r="C364" s="132">
        <v>121096</v>
      </c>
      <c r="D364" s="122" t="s">
        <v>433</v>
      </c>
      <c r="E364" s="92" t="s">
        <v>1626</v>
      </c>
      <c r="F364" t="s">
        <v>324</v>
      </c>
      <c r="I364" s="122">
        <v>1</v>
      </c>
      <c r="J364" s="92"/>
      <c r="K364" s="122">
        <v>0</v>
      </c>
      <c r="L364" s="92" t="s">
        <v>1142</v>
      </c>
      <c r="M364" s="92"/>
      <c r="N364" s="92" t="s">
        <v>1801</v>
      </c>
      <c r="O364" s="92" t="s">
        <v>1789</v>
      </c>
      <c r="P364" s="92"/>
      <c r="Q364" s="92"/>
      <c r="R364" s="92"/>
      <c r="S364" s="133">
        <v>42064</v>
      </c>
      <c r="T364" s="133">
        <v>42064</v>
      </c>
      <c r="U364" s="92" t="s">
        <v>1141</v>
      </c>
      <c r="V364" s="122">
        <v>500</v>
      </c>
      <c r="W364" s="122">
        <v>14070</v>
      </c>
      <c r="X364" s="113">
        <v>8263.36</v>
      </c>
      <c r="Y364" s="122">
        <v>14076</v>
      </c>
      <c r="Z364" s="113">
        <v>8263.36</v>
      </c>
      <c r="AA364" s="113">
        <v>0</v>
      </c>
      <c r="AB364" s="113">
        <v>0</v>
      </c>
      <c r="AC364" s="122">
        <v>51260</v>
      </c>
      <c r="AD364" s="113">
        <v>0</v>
      </c>
      <c r="AE364" s="122" t="s">
        <v>433</v>
      </c>
      <c r="AF364" s="92"/>
      <c r="AG364" s="92"/>
      <c r="AH364" s="92" t="s">
        <v>2</v>
      </c>
      <c r="AI364" s="92" t="s">
        <v>1785</v>
      </c>
      <c r="AJ364" s="92" t="s">
        <v>1787</v>
      </c>
      <c r="AK364" s="92" t="s">
        <v>1779</v>
      </c>
      <c r="AL364" s="92">
        <v>0</v>
      </c>
      <c r="AM364" s="92">
        <v>0</v>
      </c>
    </row>
    <row r="365" spans="2:39">
      <c r="B365" s="122">
        <v>2149</v>
      </c>
      <c r="C365" s="132">
        <v>121038</v>
      </c>
      <c r="D365" s="122" t="s">
        <v>433</v>
      </c>
      <c r="E365" s="92" t="s">
        <v>1626</v>
      </c>
      <c r="F365" t="s">
        <v>1140</v>
      </c>
      <c r="I365" s="122">
        <v>300</v>
      </c>
      <c r="J365" s="92"/>
      <c r="K365" s="122">
        <v>0</v>
      </c>
      <c r="L365" s="92" t="s">
        <v>1138</v>
      </c>
      <c r="M365" s="92"/>
      <c r="N365" s="92" t="s">
        <v>646</v>
      </c>
      <c r="O365" s="92" t="s">
        <v>1789</v>
      </c>
      <c r="P365" s="92"/>
      <c r="Q365" s="92"/>
      <c r="R365" s="92"/>
      <c r="S365" s="133">
        <v>42064</v>
      </c>
      <c r="T365" s="133">
        <v>42064</v>
      </c>
      <c r="U365" s="92" t="s">
        <v>1137</v>
      </c>
      <c r="V365" s="122">
        <v>700</v>
      </c>
      <c r="W365" s="122">
        <v>14050</v>
      </c>
      <c r="X365" s="113">
        <v>14206.55</v>
      </c>
      <c r="Y365" s="122">
        <v>14056</v>
      </c>
      <c r="Z365" s="113">
        <v>14206.55</v>
      </c>
      <c r="AA365" s="113">
        <v>0</v>
      </c>
      <c r="AB365" s="113">
        <v>0</v>
      </c>
      <c r="AC365" s="122">
        <v>54260</v>
      </c>
      <c r="AD365" s="113">
        <v>0</v>
      </c>
      <c r="AE365" s="122" t="s">
        <v>433</v>
      </c>
      <c r="AF365" s="92"/>
      <c r="AG365" s="92"/>
      <c r="AH365" s="92" t="s">
        <v>2</v>
      </c>
      <c r="AI365" s="92" t="s">
        <v>1785</v>
      </c>
      <c r="AJ365" s="92" t="s">
        <v>1787</v>
      </c>
      <c r="AK365" s="92" t="s">
        <v>1779</v>
      </c>
      <c r="AL365" s="92">
        <v>0</v>
      </c>
      <c r="AM365" s="92">
        <v>0</v>
      </c>
    </row>
    <row r="366" spans="2:39">
      <c r="B366" s="122">
        <v>2149</v>
      </c>
      <c r="C366" s="132">
        <v>121037</v>
      </c>
      <c r="D366" s="122" t="s">
        <v>433</v>
      </c>
      <c r="E366" s="92" t="s">
        <v>1626</v>
      </c>
      <c r="F366" t="s">
        <v>1139</v>
      </c>
      <c r="I366" s="122">
        <v>420</v>
      </c>
      <c r="J366" s="92"/>
      <c r="K366" s="122">
        <v>0</v>
      </c>
      <c r="L366" s="92" t="s">
        <v>1138</v>
      </c>
      <c r="M366" s="92"/>
      <c r="N366" s="92" t="s">
        <v>646</v>
      </c>
      <c r="O366" s="92" t="s">
        <v>1789</v>
      </c>
      <c r="P366" s="92"/>
      <c r="Q366" s="92"/>
      <c r="R366" s="92"/>
      <c r="S366" s="133">
        <v>42064</v>
      </c>
      <c r="T366" s="133">
        <v>42064</v>
      </c>
      <c r="U366" s="92" t="s">
        <v>1137</v>
      </c>
      <c r="V366" s="122">
        <v>700</v>
      </c>
      <c r="W366" s="122">
        <v>14050</v>
      </c>
      <c r="X366" s="113">
        <v>22395.5</v>
      </c>
      <c r="Y366" s="122">
        <v>14056</v>
      </c>
      <c r="Z366" s="113">
        <v>22395.5</v>
      </c>
      <c r="AA366" s="113">
        <v>0</v>
      </c>
      <c r="AB366" s="113">
        <v>0</v>
      </c>
      <c r="AC366" s="122">
        <v>54260</v>
      </c>
      <c r="AD366" s="113">
        <v>0</v>
      </c>
      <c r="AE366" s="122" t="s">
        <v>433</v>
      </c>
      <c r="AF366" s="92"/>
      <c r="AG366" s="92"/>
      <c r="AH366" s="92" t="s">
        <v>2</v>
      </c>
      <c r="AI366" s="92" t="s">
        <v>1785</v>
      </c>
      <c r="AJ366" s="92" t="s">
        <v>1787</v>
      </c>
      <c r="AK366" s="92" t="s">
        <v>1779</v>
      </c>
      <c r="AL366" s="92">
        <v>0</v>
      </c>
      <c r="AM366" s="92">
        <v>0</v>
      </c>
    </row>
    <row r="367" spans="2:39">
      <c r="B367" s="122">
        <v>2149</v>
      </c>
      <c r="C367" s="132">
        <v>120330</v>
      </c>
      <c r="D367" s="122" t="s">
        <v>433</v>
      </c>
      <c r="E367" s="92" t="s">
        <v>1626</v>
      </c>
      <c r="F367" t="s">
        <v>323</v>
      </c>
      <c r="I367" s="122">
        <v>1</v>
      </c>
      <c r="J367" s="92"/>
      <c r="K367" s="122">
        <v>0</v>
      </c>
      <c r="L367" s="92" t="s">
        <v>1136</v>
      </c>
      <c r="M367" s="92"/>
      <c r="N367" s="92" t="s">
        <v>1801</v>
      </c>
      <c r="O367" s="92" t="s">
        <v>1789</v>
      </c>
      <c r="P367" s="92"/>
      <c r="Q367" s="92"/>
      <c r="R367" s="92"/>
      <c r="S367" s="133">
        <v>42035</v>
      </c>
      <c r="T367" s="133">
        <v>42035</v>
      </c>
      <c r="U367" s="92" t="s">
        <v>1135</v>
      </c>
      <c r="V367" s="122">
        <v>500</v>
      </c>
      <c r="W367" s="122">
        <v>14070</v>
      </c>
      <c r="X367" s="113">
        <v>17574.62</v>
      </c>
      <c r="Y367" s="122">
        <v>14076</v>
      </c>
      <c r="Z367" s="113">
        <v>17574.62</v>
      </c>
      <c r="AA367" s="113">
        <v>0</v>
      </c>
      <c r="AB367" s="113">
        <v>0</v>
      </c>
      <c r="AC367" s="122">
        <v>51260</v>
      </c>
      <c r="AD367" s="113">
        <v>0</v>
      </c>
      <c r="AE367" s="122" t="s">
        <v>433</v>
      </c>
      <c r="AF367" s="92"/>
      <c r="AG367" s="92"/>
      <c r="AH367" s="92" t="s">
        <v>2</v>
      </c>
      <c r="AI367" s="92" t="s">
        <v>1785</v>
      </c>
      <c r="AJ367" s="92" t="s">
        <v>1787</v>
      </c>
      <c r="AK367" s="92" t="s">
        <v>1779</v>
      </c>
      <c r="AL367" s="92">
        <v>0</v>
      </c>
      <c r="AM367" s="92">
        <v>0</v>
      </c>
    </row>
    <row r="368" spans="2:39">
      <c r="B368" s="122">
        <v>2149</v>
      </c>
      <c r="C368" s="132">
        <v>118137</v>
      </c>
      <c r="D368" s="122" t="s">
        <v>433</v>
      </c>
      <c r="E368" s="92" t="s">
        <v>1626</v>
      </c>
      <c r="F368" t="s">
        <v>1134</v>
      </c>
      <c r="I368" s="122">
        <v>1</v>
      </c>
      <c r="J368" s="92"/>
      <c r="K368" s="122">
        <v>0</v>
      </c>
      <c r="L368" s="92"/>
      <c r="M368" s="92"/>
      <c r="N368" s="92" t="s">
        <v>646</v>
      </c>
      <c r="O368" s="92" t="s">
        <v>1789</v>
      </c>
      <c r="P368" s="92"/>
      <c r="Q368" s="92"/>
      <c r="R368" s="92"/>
      <c r="S368" s="133">
        <v>42004</v>
      </c>
      <c r="T368" s="133">
        <v>42004</v>
      </c>
      <c r="U368" s="92" t="s">
        <v>1133</v>
      </c>
      <c r="V368" s="122">
        <v>500</v>
      </c>
      <c r="W368" s="122">
        <v>14050</v>
      </c>
      <c r="X368" s="113">
        <v>12580.08</v>
      </c>
      <c r="Y368" s="122">
        <v>14056</v>
      </c>
      <c r="Z368" s="113">
        <v>12580.08</v>
      </c>
      <c r="AA368" s="113">
        <v>0</v>
      </c>
      <c r="AB368" s="113">
        <v>0</v>
      </c>
      <c r="AC368" s="122">
        <v>54260</v>
      </c>
      <c r="AD368" s="113">
        <v>0</v>
      </c>
      <c r="AE368" s="122" t="s">
        <v>433</v>
      </c>
      <c r="AF368" s="92"/>
      <c r="AG368" s="92"/>
      <c r="AH368" s="92" t="s">
        <v>2</v>
      </c>
      <c r="AI368" s="92" t="s">
        <v>1785</v>
      </c>
      <c r="AJ368" s="92" t="s">
        <v>1787</v>
      </c>
      <c r="AK368" s="92" t="s">
        <v>1779</v>
      </c>
      <c r="AL368" s="92">
        <v>0</v>
      </c>
      <c r="AM368" s="92">
        <v>0</v>
      </c>
    </row>
    <row r="369" spans="2:39">
      <c r="B369" s="122">
        <v>2149</v>
      </c>
      <c r="C369" s="132">
        <v>117318</v>
      </c>
      <c r="D369" s="122" t="s">
        <v>433</v>
      </c>
      <c r="E369" s="92" t="s">
        <v>1626</v>
      </c>
      <c r="F369" t="s">
        <v>1132</v>
      </c>
      <c r="I369" s="122">
        <v>1</v>
      </c>
      <c r="J369" s="92" t="s">
        <v>600</v>
      </c>
      <c r="K369" s="122">
        <v>2015</v>
      </c>
      <c r="L369" s="92" t="s">
        <v>671</v>
      </c>
      <c r="M369" s="92" t="s">
        <v>908</v>
      </c>
      <c r="N369" s="92" t="s">
        <v>1788</v>
      </c>
      <c r="O369" s="92" t="s">
        <v>1789</v>
      </c>
      <c r="P369" s="92" t="s">
        <v>1809</v>
      </c>
      <c r="Q369" s="92"/>
      <c r="R369" s="92"/>
      <c r="S369" s="133">
        <v>41946</v>
      </c>
      <c r="T369" s="133">
        <v>41946</v>
      </c>
      <c r="U369" s="92" t="s">
        <v>1131</v>
      </c>
      <c r="V369" s="122">
        <v>1000</v>
      </c>
      <c r="W369" s="122">
        <v>14040</v>
      </c>
      <c r="X369" s="113">
        <v>207432.32000000001</v>
      </c>
      <c r="Y369" s="122">
        <v>14046</v>
      </c>
      <c r="Z369" s="113">
        <v>197060.68</v>
      </c>
      <c r="AA369" s="113">
        <v>10371.640000000014</v>
      </c>
      <c r="AB369" s="113">
        <v>6914.4</v>
      </c>
      <c r="AC369" s="122">
        <v>51260</v>
      </c>
      <c r="AD369" s="113">
        <v>1728.6</v>
      </c>
      <c r="AE369" s="122" t="s">
        <v>433</v>
      </c>
      <c r="AF369" s="92"/>
      <c r="AG369" s="92">
        <v>30</v>
      </c>
      <c r="AH369" s="92" t="s">
        <v>2</v>
      </c>
      <c r="AI369" s="92" t="s">
        <v>1785</v>
      </c>
      <c r="AJ369" s="92" t="s">
        <v>1787</v>
      </c>
      <c r="AK369" s="92" t="s">
        <v>1779</v>
      </c>
      <c r="AL369" s="92">
        <v>0</v>
      </c>
      <c r="AM369" s="92">
        <v>0</v>
      </c>
    </row>
    <row r="370" spans="2:39">
      <c r="B370" s="122">
        <v>2149</v>
      </c>
      <c r="C370" s="132">
        <v>116395</v>
      </c>
      <c r="D370" s="122" t="s">
        <v>433</v>
      </c>
      <c r="E370" s="92" t="s">
        <v>1626</v>
      </c>
      <c r="F370" t="s">
        <v>1130</v>
      </c>
      <c r="I370" s="122">
        <v>1</v>
      </c>
      <c r="J370" s="92"/>
      <c r="K370" s="122">
        <v>0</v>
      </c>
      <c r="L370" s="92" t="s">
        <v>995</v>
      </c>
      <c r="M370" s="92"/>
      <c r="N370" s="92" t="s">
        <v>1800</v>
      </c>
      <c r="O370" s="92" t="s">
        <v>1800</v>
      </c>
      <c r="P370" s="92"/>
      <c r="Q370" s="92"/>
      <c r="R370" s="92"/>
      <c r="S370" s="133">
        <v>41915</v>
      </c>
      <c r="T370" s="133">
        <v>41915</v>
      </c>
      <c r="U370" s="92" t="s">
        <v>1129</v>
      </c>
      <c r="V370" s="122">
        <v>500</v>
      </c>
      <c r="W370" s="122">
        <v>14090</v>
      </c>
      <c r="X370" s="113">
        <v>3942.89</v>
      </c>
      <c r="Y370" s="122">
        <v>14096</v>
      </c>
      <c r="Z370" s="113">
        <v>3942.89</v>
      </c>
      <c r="AA370" s="113">
        <v>0</v>
      </c>
      <c r="AB370" s="113">
        <v>0</v>
      </c>
      <c r="AC370" s="122">
        <v>57260</v>
      </c>
      <c r="AD370" s="113">
        <v>0</v>
      </c>
      <c r="AE370" s="122" t="s">
        <v>433</v>
      </c>
      <c r="AF370" s="92"/>
      <c r="AG370" s="92"/>
      <c r="AH370" s="92" t="s">
        <v>2</v>
      </c>
      <c r="AI370" s="92" t="s">
        <v>1785</v>
      </c>
      <c r="AJ370" s="92" t="s">
        <v>1787</v>
      </c>
      <c r="AK370" s="92" t="s">
        <v>1779</v>
      </c>
      <c r="AL370" s="92">
        <v>0</v>
      </c>
      <c r="AM370" s="92">
        <v>0</v>
      </c>
    </row>
    <row r="371" spans="2:39">
      <c r="B371" s="122">
        <v>2149</v>
      </c>
      <c r="C371" s="132">
        <v>115364</v>
      </c>
      <c r="D371" s="122" t="s">
        <v>433</v>
      </c>
      <c r="E371" s="92" t="s">
        <v>1626</v>
      </c>
      <c r="F371" t="s">
        <v>315</v>
      </c>
      <c r="I371" s="122">
        <v>25</v>
      </c>
      <c r="J371" s="92"/>
      <c r="K371" s="122">
        <v>0</v>
      </c>
      <c r="L371" s="92" t="s">
        <v>791</v>
      </c>
      <c r="M371" s="92"/>
      <c r="N371" s="92" t="s">
        <v>646</v>
      </c>
      <c r="O371" s="92" t="s">
        <v>1789</v>
      </c>
      <c r="P371" s="92"/>
      <c r="Q371" s="92" t="s">
        <v>1792</v>
      </c>
      <c r="R371" s="92" t="s">
        <v>1791</v>
      </c>
      <c r="S371" s="133">
        <v>41864</v>
      </c>
      <c r="T371" s="133">
        <v>41864</v>
      </c>
      <c r="U371" s="92" t="s">
        <v>1128</v>
      </c>
      <c r="V371" s="122">
        <v>1200</v>
      </c>
      <c r="W371" s="122">
        <v>14050</v>
      </c>
      <c r="X371" s="113">
        <v>11750</v>
      </c>
      <c r="Y371" s="122">
        <v>14056</v>
      </c>
      <c r="Z371" s="113">
        <v>9546.92</v>
      </c>
      <c r="AA371" s="113">
        <v>2203.08</v>
      </c>
      <c r="AB371" s="113">
        <v>326.39999999999998</v>
      </c>
      <c r="AC371" s="122">
        <v>54260</v>
      </c>
      <c r="AD371" s="113">
        <v>81.599999999999994</v>
      </c>
      <c r="AE371" s="122" t="s">
        <v>433</v>
      </c>
      <c r="AF371" s="92"/>
      <c r="AG371" s="92"/>
      <c r="AH371" s="92" t="s">
        <v>2</v>
      </c>
      <c r="AI371" s="92" t="s">
        <v>1785</v>
      </c>
      <c r="AJ371" s="92" t="s">
        <v>1787</v>
      </c>
      <c r="AK371" s="92" t="s">
        <v>1779</v>
      </c>
      <c r="AL371" s="92">
        <v>0</v>
      </c>
      <c r="AM371" s="92">
        <v>0</v>
      </c>
    </row>
    <row r="372" spans="2:39">
      <c r="B372" s="122">
        <v>2149</v>
      </c>
      <c r="C372" s="132">
        <v>115252</v>
      </c>
      <c r="D372" s="122" t="s">
        <v>433</v>
      </c>
      <c r="E372" s="92" t="s">
        <v>1626</v>
      </c>
      <c r="F372" t="s">
        <v>315</v>
      </c>
      <c r="I372" s="122">
        <v>18</v>
      </c>
      <c r="J372" s="92"/>
      <c r="K372" s="122">
        <v>0</v>
      </c>
      <c r="L372" s="92" t="s">
        <v>791</v>
      </c>
      <c r="M372" s="92"/>
      <c r="N372" s="92" t="s">
        <v>646</v>
      </c>
      <c r="O372" s="92" t="s">
        <v>1789</v>
      </c>
      <c r="P372" s="92"/>
      <c r="Q372" s="92" t="s">
        <v>1792</v>
      </c>
      <c r="R372" s="92" t="s">
        <v>1791</v>
      </c>
      <c r="S372" s="133">
        <v>41864</v>
      </c>
      <c r="T372" s="133">
        <v>41864</v>
      </c>
      <c r="U372" s="92" t="s">
        <v>1128</v>
      </c>
      <c r="V372" s="122">
        <v>1200</v>
      </c>
      <c r="W372" s="122">
        <v>14050</v>
      </c>
      <c r="X372" s="113">
        <v>8460</v>
      </c>
      <c r="Y372" s="122">
        <v>14056</v>
      </c>
      <c r="Z372" s="113">
        <v>6873.75</v>
      </c>
      <c r="AA372" s="113">
        <v>1586.25</v>
      </c>
      <c r="AB372" s="113">
        <v>235</v>
      </c>
      <c r="AC372" s="122">
        <v>54260</v>
      </c>
      <c r="AD372" s="113">
        <v>58.75</v>
      </c>
      <c r="AE372" s="122" t="s">
        <v>433</v>
      </c>
      <c r="AF372" s="92"/>
      <c r="AG372" s="92"/>
      <c r="AH372" s="92" t="s">
        <v>2</v>
      </c>
      <c r="AI372" s="92" t="s">
        <v>1785</v>
      </c>
      <c r="AJ372" s="92" t="s">
        <v>1787</v>
      </c>
      <c r="AK372" s="92" t="s">
        <v>1779</v>
      </c>
      <c r="AL372" s="92">
        <v>0</v>
      </c>
      <c r="AM372" s="92">
        <v>0</v>
      </c>
    </row>
    <row r="373" spans="2:39">
      <c r="B373" s="122">
        <v>2149</v>
      </c>
      <c r="C373" s="132">
        <v>115251</v>
      </c>
      <c r="D373" s="122" t="s">
        <v>433</v>
      </c>
      <c r="E373" s="92" t="s">
        <v>1626</v>
      </c>
      <c r="F373" t="s">
        <v>314</v>
      </c>
      <c r="I373" s="122">
        <v>35</v>
      </c>
      <c r="J373" s="92"/>
      <c r="K373" s="122">
        <v>0</v>
      </c>
      <c r="L373" s="92" t="s">
        <v>791</v>
      </c>
      <c r="M373" s="92"/>
      <c r="N373" s="92" t="s">
        <v>646</v>
      </c>
      <c r="O373" s="92" t="s">
        <v>1789</v>
      </c>
      <c r="P373" s="92"/>
      <c r="Q373" s="92" t="s">
        <v>1790</v>
      </c>
      <c r="R373" s="92" t="s">
        <v>1791</v>
      </c>
      <c r="S373" s="133">
        <v>41864</v>
      </c>
      <c r="T373" s="133">
        <v>41864</v>
      </c>
      <c r="U373" s="92" t="s">
        <v>1128</v>
      </c>
      <c r="V373" s="122">
        <v>1200</v>
      </c>
      <c r="W373" s="122">
        <v>14050</v>
      </c>
      <c r="X373" s="113">
        <v>15400</v>
      </c>
      <c r="Y373" s="122">
        <v>14056</v>
      </c>
      <c r="Z373" s="113">
        <v>12512.45</v>
      </c>
      <c r="AA373" s="113">
        <v>2887.5499999999993</v>
      </c>
      <c r="AB373" s="113">
        <v>427.76</v>
      </c>
      <c r="AC373" s="122">
        <v>54260</v>
      </c>
      <c r="AD373" s="113">
        <v>106.94</v>
      </c>
      <c r="AE373" s="122" t="s">
        <v>433</v>
      </c>
      <c r="AF373" s="92"/>
      <c r="AG373" s="92"/>
      <c r="AH373" s="92" t="s">
        <v>2</v>
      </c>
      <c r="AI373" s="92" t="s">
        <v>1785</v>
      </c>
      <c r="AJ373" s="92" t="s">
        <v>1787</v>
      </c>
      <c r="AK373" s="92" t="s">
        <v>1779</v>
      </c>
      <c r="AL373" s="92">
        <v>0</v>
      </c>
      <c r="AM373" s="92">
        <v>0</v>
      </c>
    </row>
    <row r="374" spans="2:39">
      <c r="B374" s="122">
        <v>2149</v>
      </c>
      <c r="C374" s="132">
        <v>113496</v>
      </c>
      <c r="D374" s="122" t="s">
        <v>433</v>
      </c>
      <c r="E374" s="92" t="s">
        <v>1626</v>
      </c>
      <c r="F374" t="s">
        <v>1127</v>
      </c>
      <c r="I374" s="122">
        <v>100</v>
      </c>
      <c r="J374" s="92"/>
      <c r="K374" s="122">
        <v>0</v>
      </c>
      <c r="L374" s="92" t="s">
        <v>844</v>
      </c>
      <c r="M374" s="92"/>
      <c r="N374" s="92" t="s">
        <v>646</v>
      </c>
      <c r="O374" s="92" t="s">
        <v>1789</v>
      </c>
      <c r="P374" s="92"/>
      <c r="Q374" s="92"/>
      <c r="R374" s="92"/>
      <c r="S374" s="133">
        <v>41796</v>
      </c>
      <c r="T374" s="133">
        <v>41796</v>
      </c>
      <c r="U374" s="92" t="s">
        <v>1126</v>
      </c>
      <c r="V374" s="122">
        <v>700</v>
      </c>
      <c r="W374" s="122">
        <v>14050</v>
      </c>
      <c r="X374" s="113">
        <v>6630.44</v>
      </c>
      <c r="Y374" s="122">
        <v>14056</v>
      </c>
      <c r="Z374" s="113">
        <v>6630.44</v>
      </c>
      <c r="AA374" s="113">
        <v>0</v>
      </c>
      <c r="AB374" s="113">
        <v>0</v>
      </c>
      <c r="AC374" s="122">
        <v>54260</v>
      </c>
      <c r="AD374" s="113">
        <v>0</v>
      </c>
      <c r="AE374" s="122" t="s">
        <v>433</v>
      </c>
      <c r="AF374" s="92"/>
      <c r="AG374" s="92"/>
      <c r="AH374" s="92" t="s">
        <v>2</v>
      </c>
      <c r="AI374" s="92" t="s">
        <v>1785</v>
      </c>
      <c r="AJ374" s="92" t="s">
        <v>1787</v>
      </c>
      <c r="AK374" s="92" t="s">
        <v>1779</v>
      </c>
      <c r="AL374" s="92">
        <v>0</v>
      </c>
      <c r="AM374" s="92">
        <v>0</v>
      </c>
    </row>
    <row r="375" spans="2:39">
      <c r="B375" s="122">
        <v>2149</v>
      </c>
      <c r="C375" s="132">
        <v>113495</v>
      </c>
      <c r="D375" s="122" t="s">
        <v>433</v>
      </c>
      <c r="E375" s="92" t="s">
        <v>1626</v>
      </c>
      <c r="F375" t="s">
        <v>1125</v>
      </c>
      <c r="I375" s="122">
        <v>350</v>
      </c>
      <c r="J375" s="92"/>
      <c r="K375" s="122">
        <v>0</v>
      </c>
      <c r="L375" s="92" t="s">
        <v>1032</v>
      </c>
      <c r="M375" s="92"/>
      <c r="N375" s="92" t="s">
        <v>646</v>
      </c>
      <c r="O375" s="92" t="s">
        <v>1789</v>
      </c>
      <c r="P375" s="92"/>
      <c r="Q375" s="92"/>
      <c r="R375" s="92"/>
      <c r="S375" s="133">
        <v>41786</v>
      </c>
      <c r="T375" s="133">
        <v>41786</v>
      </c>
      <c r="U375" s="92" t="s">
        <v>1124</v>
      </c>
      <c r="V375" s="122">
        <v>700</v>
      </c>
      <c r="W375" s="122">
        <v>14050</v>
      </c>
      <c r="X375" s="113">
        <v>14838.46</v>
      </c>
      <c r="Y375" s="122">
        <v>14056</v>
      </c>
      <c r="Z375" s="113">
        <v>14838.46</v>
      </c>
      <c r="AA375" s="113">
        <v>0</v>
      </c>
      <c r="AB375" s="113">
        <v>0</v>
      </c>
      <c r="AC375" s="122">
        <v>54260</v>
      </c>
      <c r="AD375" s="113">
        <v>0</v>
      </c>
      <c r="AE375" s="122" t="s">
        <v>433</v>
      </c>
      <c r="AF375" s="92"/>
      <c r="AG375" s="92"/>
      <c r="AH375" s="92" t="s">
        <v>2</v>
      </c>
      <c r="AI375" s="92" t="s">
        <v>1785</v>
      </c>
      <c r="AJ375" s="92" t="s">
        <v>1787</v>
      </c>
      <c r="AK375" s="92" t="s">
        <v>1779</v>
      </c>
      <c r="AL375" s="92">
        <v>0</v>
      </c>
      <c r="AM375" s="92">
        <v>0</v>
      </c>
    </row>
    <row r="376" spans="2:39">
      <c r="B376" s="122">
        <v>2149</v>
      </c>
      <c r="C376" s="132">
        <v>113270</v>
      </c>
      <c r="D376" s="122" t="s">
        <v>433</v>
      </c>
      <c r="E376" s="92" t="s">
        <v>1626</v>
      </c>
      <c r="F376" t="s">
        <v>313</v>
      </c>
      <c r="I376" s="122">
        <v>3</v>
      </c>
      <c r="J376" s="92"/>
      <c r="K376" s="122">
        <v>0</v>
      </c>
      <c r="L376" s="92" t="s">
        <v>978</v>
      </c>
      <c r="M376" s="92"/>
      <c r="N376" s="92" t="s">
        <v>1798</v>
      </c>
      <c r="O376" s="92" t="s">
        <v>1789</v>
      </c>
      <c r="P376" s="92"/>
      <c r="Q376" s="92"/>
      <c r="R376" s="92"/>
      <c r="S376" s="133">
        <v>41749</v>
      </c>
      <c r="T376" s="133">
        <v>41749</v>
      </c>
      <c r="U376" s="92" t="s">
        <v>1123</v>
      </c>
      <c r="V376" s="122">
        <v>300</v>
      </c>
      <c r="W376" s="122">
        <v>14110</v>
      </c>
      <c r="X376" s="113">
        <v>1013.04</v>
      </c>
      <c r="Y376" s="122">
        <v>14116</v>
      </c>
      <c r="Z376" s="113">
        <v>1013.04</v>
      </c>
      <c r="AA376" s="113">
        <v>0</v>
      </c>
      <c r="AB376" s="113">
        <v>0</v>
      </c>
      <c r="AC376" s="122">
        <v>70260</v>
      </c>
      <c r="AD376" s="113">
        <v>0</v>
      </c>
      <c r="AE376" s="122" t="s">
        <v>433</v>
      </c>
      <c r="AF376" s="92"/>
      <c r="AG376" s="92"/>
      <c r="AH376" s="92" t="s">
        <v>2</v>
      </c>
      <c r="AI376" s="92" t="s">
        <v>1785</v>
      </c>
      <c r="AJ376" s="92" t="s">
        <v>1787</v>
      </c>
      <c r="AK376" s="92" t="s">
        <v>1779</v>
      </c>
      <c r="AL376" s="92">
        <v>0</v>
      </c>
      <c r="AM376" s="92">
        <v>0</v>
      </c>
    </row>
    <row r="377" spans="2:39">
      <c r="B377" s="122">
        <v>2149</v>
      </c>
      <c r="C377" s="132">
        <v>112599</v>
      </c>
      <c r="D377" s="122">
        <v>109576</v>
      </c>
      <c r="E377" s="92" t="s">
        <v>1626</v>
      </c>
      <c r="F377" t="s">
        <v>1122</v>
      </c>
      <c r="I377" s="122">
        <v>1</v>
      </c>
      <c r="J377" s="92"/>
      <c r="K377" s="122">
        <v>0</v>
      </c>
      <c r="L377" s="92" t="s">
        <v>1121</v>
      </c>
      <c r="M377" s="92"/>
      <c r="N377" s="92" t="s">
        <v>1800</v>
      </c>
      <c r="O377" s="92" t="s">
        <v>1800</v>
      </c>
      <c r="P377" s="92"/>
      <c r="Q377" s="92"/>
      <c r="R377" s="92"/>
      <c r="S377" s="133">
        <v>41640</v>
      </c>
      <c r="T377" s="133">
        <v>41640</v>
      </c>
      <c r="U377" s="92" t="s">
        <v>1119</v>
      </c>
      <c r="V377" s="122">
        <v>506</v>
      </c>
      <c r="W377" s="122">
        <v>14090</v>
      </c>
      <c r="X377" s="113">
        <v>1884</v>
      </c>
      <c r="Y377" s="122">
        <v>14096</v>
      </c>
      <c r="Z377" s="113">
        <v>1884</v>
      </c>
      <c r="AA377" s="113">
        <v>0</v>
      </c>
      <c r="AB377" s="113">
        <v>0</v>
      </c>
      <c r="AC377" s="122">
        <v>57260</v>
      </c>
      <c r="AD377" s="113">
        <v>0</v>
      </c>
      <c r="AE377" s="122" t="s">
        <v>433</v>
      </c>
      <c r="AF377" s="92"/>
      <c r="AG377" s="92"/>
      <c r="AH377" s="92" t="s">
        <v>2</v>
      </c>
      <c r="AI377" s="92" t="s">
        <v>1785</v>
      </c>
      <c r="AJ377" s="92" t="s">
        <v>1787</v>
      </c>
      <c r="AK377" s="92" t="s">
        <v>1779</v>
      </c>
      <c r="AL377" s="92">
        <v>0</v>
      </c>
      <c r="AM377" s="92">
        <v>0</v>
      </c>
    </row>
    <row r="378" spans="2:39">
      <c r="B378" s="122">
        <v>2149</v>
      </c>
      <c r="C378" s="132">
        <v>112418</v>
      </c>
      <c r="D378" s="122">
        <v>109576</v>
      </c>
      <c r="E378" s="92" t="s">
        <v>1626</v>
      </c>
      <c r="F378" t="s">
        <v>1120</v>
      </c>
      <c r="I378" s="122">
        <v>1</v>
      </c>
      <c r="J378" s="92"/>
      <c r="K378" s="122">
        <v>0</v>
      </c>
      <c r="L378" s="92"/>
      <c r="M378" s="92"/>
      <c r="N378" s="92" t="s">
        <v>1800</v>
      </c>
      <c r="O378" s="92" t="s">
        <v>1800</v>
      </c>
      <c r="P378" s="92"/>
      <c r="Q378" s="92"/>
      <c r="R378" s="92"/>
      <c r="S378" s="133">
        <v>41640</v>
      </c>
      <c r="T378" s="133">
        <v>41640</v>
      </c>
      <c r="U378" s="92" t="s">
        <v>1119</v>
      </c>
      <c r="V378" s="122">
        <v>506</v>
      </c>
      <c r="W378" s="122">
        <v>14090</v>
      </c>
      <c r="X378" s="113">
        <v>2675.38</v>
      </c>
      <c r="Y378" s="122">
        <v>14096</v>
      </c>
      <c r="Z378" s="113">
        <v>2675.38</v>
      </c>
      <c r="AA378" s="113">
        <v>0</v>
      </c>
      <c r="AB378" s="113">
        <v>0</v>
      </c>
      <c r="AC378" s="122">
        <v>57260</v>
      </c>
      <c r="AD378" s="113">
        <v>0</v>
      </c>
      <c r="AE378" s="122" t="s">
        <v>433</v>
      </c>
      <c r="AF378" s="92"/>
      <c r="AG378" s="92"/>
      <c r="AH378" s="92" t="s">
        <v>2</v>
      </c>
      <c r="AI378" s="92" t="s">
        <v>1785</v>
      </c>
      <c r="AJ378" s="92" t="s">
        <v>1787</v>
      </c>
      <c r="AK378" s="92" t="s">
        <v>1779</v>
      </c>
      <c r="AL378" s="92">
        <v>0</v>
      </c>
      <c r="AM378" s="92">
        <v>0</v>
      </c>
    </row>
    <row r="379" spans="2:39">
      <c r="B379" s="122">
        <v>2149</v>
      </c>
      <c r="C379" s="132">
        <v>112162</v>
      </c>
      <c r="D379" s="122">
        <v>109576</v>
      </c>
      <c r="E379" s="92" t="s">
        <v>1626</v>
      </c>
      <c r="F379" t="s">
        <v>1118</v>
      </c>
      <c r="I379" s="122">
        <v>1</v>
      </c>
      <c r="J379" s="92"/>
      <c r="K379" s="122">
        <v>0</v>
      </c>
      <c r="L379" s="92" t="s">
        <v>1117</v>
      </c>
      <c r="M379" s="92"/>
      <c r="N379" s="92" t="s">
        <v>1800</v>
      </c>
      <c r="O379" s="92" t="s">
        <v>1800</v>
      </c>
      <c r="P379" s="92"/>
      <c r="Q379" s="92"/>
      <c r="R379" s="92"/>
      <c r="S379" s="133">
        <v>41640</v>
      </c>
      <c r="T379" s="133">
        <v>41640</v>
      </c>
      <c r="U379" s="92" t="s">
        <v>1096</v>
      </c>
      <c r="V379" s="122">
        <v>506</v>
      </c>
      <c r="W379" s="122">
        <v>14090</v>
      </c>
      <c r="X379" s="113">
        <v>10412.07</v>
      </c>
      <c r="Y379" s="122">
        <v>14096</v>
      </c>
      <c r="Z379" s="113">
        <v>10412.07</v>
      </c>
      <c r="AA379" s="113">
        <v>0</v>
      </c>
      <c r="AB379" s="113">
        <v>0</v>
      </c>
      <c r="AC379" s="122">
        <v>57260</v>
      </c>
      <c r="AD379" s="113">
        <v>0</v>
      </c>
      <c r="AE379" s="122" t="s">
        <v>433</v>
      </c>
      <c r="AF379" s="92"/>
      <c r="AG379" s="92"/>
      <c r="AH379" s="92" t="s">
        <v>2</v>
      </c>
      <c r="AI379" s="92" t="s">
        <v>1785</v>
      </c>
      <c r="AJ379" s="92" t="s">
        <v>1787</v>
      </c>
      <c r="AK379" s="92" t="s">
        <v>1779</v>
      </c>
      <c r="AL379" s="92">
        <v>0</v>
      </c>
      <c r="AM379" s="92">
        <v>0</v>
      </c>
    </row>
    <row r="380" spans="2:39">
      <c r="B380" s="122">
        <v>2149</v>
      </c>
      <c r="C380" s="132">
        <v>111445</v>
      </c>
      <c r="D380" s="122" t="s">
        <v>433</v>
      </c>
      <c r="E380" s="92" t="s">
        <v>1626</v>
      </c>
      <c r="F380" t="s">
        <v>1116</v>
      </c>
      <c r="I380" s="122">
        <v>624</v>
      </c>
      <c r="J380" s="92"/>
      <c r="K380" s="122">
        <v>0</v>
      </c>
      <c r="L380" s="92" t="s">
        <v>844</v>
      </c>
      <c r="M380" s="92"/>
      <c r="N380" s="92" t="s">
        <v>646</v>
      </c>
      <c r="O380" s="92" t="s">
        <v>1789</v>
      </c>
      <c r="P380" s="92"/>
      <c r="Q380" s="92"/>
      <c r="R380" s="92"/>
      <c r="S380" s="133">
        <v>41717</v>
      </c>
      <c r="T380" s="133">
        <v>41717</v>
      </c>
      <c r="U380" s="92" t="s">
        <v>1113</v>
      </c>
      <c r="V380" s="122">
        <v>700</v>
      </c>
      <c r="W380" s="122">
        <v>14050</v>
      </c>
      <c r="X380" s="113">
        <v>36065.919999999998</v>
      </c>
      <c r="Y380" s="122">
        <v>14056</v>
      </c>
      <c r="Z380" s="113">
        <v>36065.919999999998</v>
      </c>
      <c r="AA380" s="113">
        <v>0</v>
      </c>
      <c r="AB380" s="113">
        <v>0</v>
      </c>
      <c r="AC380" s="122">
        <v>54260</v>
      </c>
      <c r="AD380" s="113">
        <v>0</v>
      </c>
      <c r="AE380" s="122" t="s">
        <v>433</v>
      </c>
      <c r="AF380" s="92"/>
      <c r="AG380" s="92"/>
      <c r="AH380" s="92" t="s">
        <v>2</v>
      </c>
      <c r="AI380" s="92" t="s">
        <v>1785</v>
      </c>
      <c r="AJ380" s="92" t="s">
        <v>1787</v>
      </c>
      <c r="AK380" s="92" t="s">
        <v>1779</v>
      </c>
      <c r="AL380" s="92">
        <v>0</v>
      </c>
      <c r="AM380" s="92">
        <v>0</v>
      </c>
    </row>
    <row r="381" spans="2:39">
      <c r="B381" s="122">
        <v>2149</v>
      </c>
      <c r="C381" s="132">
        <v>111169</v>
      </c>
      <c r="D381" s="122" t="s">
        <v>433</v>
      </c>
      <c r="E381" s="92" t="s">
        <v>1626</v>
      </c>
      <c r="F381" t="s">
        <v>1115</v>
      </c>
      <c r="I381" s="122">
        <v>1</v>
      </c>
      <c r="J381" s="92"/>
      <c r="K381" s="122">
        <v>0</v>
      </c>
      <c r="L381" s="92" t="s">
        <v>1114</v>
      </c>
      <c r="M381" s="92"/>
      <c r="N381" s="92" t="s">
        <v>646</v>
      </c>
      <c r="O381" s="92" t="s">
        <v>1789</v>
      </c>
      <c r="P381" s="92"/>
      <c r="Q381" s="92"/>
      <c r="R381" s="92"/>
      <c r="S381" s="133">
        <v>41640</v>
      </c>
      <c r="T381" s="133">
        <v>41640</v>
      </c>
      <c r="U381" s="92" t="s">
        <v>1113</v>
      </c>
      <c r="V381" s="122">
        <v>700</v>
      </c>
      <c r="W381" s="122">
        <v>14050</v>
      </c>
      <c r="X381" s="113">
        <v>2369.64</v>
      </c>
      <c r="Y381" s="122">
        <v>14056</v>
      </c>
      <c r="Z381" s="113">
        <v>2369.64</v>
      </c>
      <c r="AA381" s="113">
        <v>0</v>
      </c>
      <c r="AB381" s="113">
        <v>0</v>
      </c>
      <c r="AC381" s="122">
        <v>54260</v>
      </c>
      <c r="AD381" s="113">
        <v>0</v>
      </c>
      <c r="AE381" s="122" t="s">
        <v>433</v>
      </c>
      <c r="AF381" s="92"/>
      <c r="AG381" s="92"/>
      <c r="AH381" s="92" t="s">
        <v>2</v>
      </c>
      <c r="AI381" s="92" t="s">
        <v>1785</v>
      </c>
      <c r="AJ381" s="92" t="s">
        <v>1787</v>
      </c>
      <c r="AK381" s="92" t="s">
        <v>1779</v>
      </c>
      <c r="AL381" s="92">
        <v>0</v>
      </c>
      <c r="AM381" s="92">
        <v>0</v>
      </c>
    </row>
    <row r="382" spans="2:39">
      <c r="B382" s="122">
        <v>2149</v>
      </c>
      <c r="C382" s="132">
        <v>110749</v>
      </c>
      <c r="D382" s="122">
        <v>109576</v>
      </c>
      <c r="E382" s="92" t="s">
        <v>1626</v>
      </c>
      <c r="F382" t="s">
        <v>1112</v>
      </c>
      <c r="I382" s="122">
        <v>1</v>
      </c>
      <c r="J382" s="92"/>
      <c r="K382" s="122">
        <v>0</v>
      </c>
      <c r="L382" s="92"/>
      <c r="M382" s="92"/>
      <c r="N382" s="92" t="s">
        <v>1800</v>
      </c>
      <c r="O382" s="92" t="s">
        <v>1800</v>
      </c>
      <c r="P382" s="92"/>
      <c r="Q382" s="92"/>
      <c r="R382" s="92"/>
      <c r="S382" s="133">
        <v>41640</v>
      </c>
      <c r="T382" s="133">
        <v>41640</v>
      </c>
      <c r="U382" s="92" t="s">
        <v>1096</v>
      </c>
      <c r="V382" s="122">
        <v>506</v>
      </c>
      <c r="W382" s="122">
        <v>14090</v>
      </c>
      <c r="X382" s="113">
        <v>317</v>
      </c>
      <c r="Y382" s="122">
        <v>14096</v>
      </c>
      <c r="Z382" s="113">
        <v>317</v>
      </c>
      <c r="AA382" s="113">
        <v>0</v>
      </c>
      <c r="AB382" s="113">
        <v>0</v>
      </c>
      <c r="AC382" s="122">
        <v>57260</v>
      </c>
      <c r="AD382" s="113">
        <v>0</v>
      </c>
      <c r="AE382" s="122" t="s">
        <v>433</v>
      </c>
      <c r="AF382" s="92"/>
      <c r="AG382" s="92"/>
      <c r="AH382" s="92" t="s">
        <v>2</v>
      </c>
      <c r="AI382" s="92" t="s">
        <v>1785</v>
      </c>
      <c r="AJ382" s="92" t="s">
        <v>1787</v>
      </c>
      <c r="AK382" s="92" t="s">
        <v>1779</v>
      </c>
      <c r="AL382" s="92">
        <v>0</v>
      </c>
      <c r="AM382" s="92">
        <v>0</v>
      </c>
    </row>
    <row r="383" spans="2:39">
      <c r="B383" s="122">
        <v>2149</v>
      </c>
      <c r="C383" s="132">
        <v>110512</v>
      </c>
      <c r="D383" s="122">
        <v>109576</v>
      </c>
      <c r="E383" s="92" t="s">
        <v>1626</v>
      </c>
      <c r="F383" t="s">
        <v>1819</v>
      </c>
      <c r="I383" s="122">
        <v>1</v>
      </c>
      <c r="J383" s="92"/>
      <c r="K383" s="122">
        <v>0</v>
      </c>
      <c r="L383" s="92" t="s">
        <v>1110</v>
      </c>
      <c r="M383" s="92"/>
      <c r="N383" s="92" t="s">
        <v>1800</v>
      </c>
      <c r="O383" s="92" t="s">
        <v>1800</v>
      </c>
      <c r="P383" s="92"/>
      <c r="Q383" s="92"/>
      <c r="R383" s="92"/>
      <c r="S383" s="133">
        <v>41640</v>
      </c>
      <c r="T383" s="133">
        <v>41640</v>
      </c>
      <c r="U383" s="92" t="s">
        <v>1096</v>
      </c>
      <c r="V383" s="122">
        <v>506</v>
      </c>
      <c r="W383" s="122">
        <v>14090</v>
      </c>
      <c r="X383" s="113">
        <v>55756.7</v>
      </c>
      <c r="Y383" s="122">
        <v>14096</v>
      </c>
      <c r="Z383" s="113">
        <v>55756.7</v>
      </c>
      <c r="AA383" s="113">
        <v>0</v>
      </c>
      <c r="AB383" s="113">
        <v>0</v>
      </c>
      <c r="AC383" s="122">
        <v>57260</v>
      </c>
      <c r="AD383" s="113">
        <v>0</v>
      </c>
      <c r="AE383" s="122" t="s">
        <v>433</v>
      </c>
      <c r="AF383" s="92"/>
      <c r="AG383" s="92"/>
      <c r="AH383" s="92" t="s">
        <v>2</v>
      </c>
      <c r="AI383" s="92" t="s">
        <v>1785</v>
      </c>
      <c r="AJ383" s="92" t="s">
        <v>1787</v>
      </c>
      <c r="AK383" s="92" t="s">
        <v>1779</v>
      </c>
      <c r="AL383" s="92">
        <v>0</v>
      </c>
      <c r="AM383" s="92">
        <v>0</v>
      </c>
    </row>
    <row r="384" spans="2:39">
      <c r="B384" s="122">
        <v>2149</v>
      </c>
      <c r="C384" s="132">
        <v>110511</v>
      </c>
      <c r="D384" s="122">
        <v>109576</v>
      </c>
      <c r="E384" s="92" t="s">
        <v>1626</v>
      </c>
      <c r="F384" t="s">
        <v>1111</v>
      </c>
      <c r="I384" s="122">
        <v>1</v>
      </c>
      <c r="J384" s="92"/>
      <c r="K384" s="122">
        <v>0</v>
      </c>
      <c r="L384" s="92" t="s">
        <v>1110</v>
      </c>
      <c r="M384" s="92"/>
      <c r="N384" s="92" t="s">
        <v>1800</v>
      </c>
      <c r="O384" s="92" t="s">
        <v>1800</v>
      </c>
      <c r="P384" s="92"/>
      <c r="Q384" s="92"/>
      <c r="R384" s="92"/>
      <c r="S384" s="133">
        <v>41640</v>
      </c>
      <c r="T384" s="133">
        <v>41640</v>
      </c>
      <c r="U384" s="92" t="s">
        <v>1096</v>
      </c>
      <c r="V384" s="122">
        <v>506</v>
      </c>
      <c r="W384" s="122">
        <v>14090</v>
      </c>
      <c r="X384" s="113">
        <v>14778.49</v>
      </c>
      <c r="Y384" s="122">
        <v>14096</v>
      </c>
      <c r="Z384" s="113">
        <v>14778.49</v>
      </c>
      <c r="AA384" s="113">
        <v>0</v>
      </c>
      <c r="AB384" s="113">
        <v>0</v>
      </c>
      <c r="AC384" s="122">
        <v>57260</v>
      </c>
      <c r="AD384" s="113">
        <v>0</v>
      </c>
      <c r="AE384" s="122" t="s">
        <v>433</v>
      </c>
      <c r="AF384" s="92"/>
      <c r="AG384" s="92"/>
      <c r="AH384" s="92" t="s">
        <v>2</v>
      </c>
      <c r="AI384" s="92" t="s">
        <v>1785</v>
      </c>
      <c r="AJ384" s="92" t="s">
        <v>1787</v>
      </c>
      <c r="AK384" s="92" t="s">
        <v>1779</v>
      </c>
      <c r="AL384" s="92">
        <v>0</v>
      </c>
      <c r="AM384" s="92">
        <v>0</v>
      </c>
    </row>
    <row r="385" spans="2:39">
      <c r="B385" s="122">
        <v>2149</v>
      </c>
      <c r="C385" s="132">
        <v>110199</v>
      </c>
      <c r="D385" s="122">
        <v>27371</v>
      </c>
      <c r="E385" s="92" t="s">
        <v>1626</v>
      </c>
      <c r="F385" t="s">
        <v>1109</v>
      </c>
      <c r="I385" s="122">
        <v>1</v>
      </c>
      <c r="J385" s="92"/>
      <c r="K385" s="122">
        <v>0</v>
      </c>
      <c r="L385" s="92" t="s">
        <v>1105</v>
      </c>
      <c r="M385" s="92"/>
      <c r="N385" s="92" t="s">
        <v>1788</v>
      </c>
      <c r="O385" s="92" t="s">
        <v>1789</v>
      </c>
      <c r="P385" s="92" t="s">
        <v>1497</v>
      </c>
      <c r="Q385" s="92"/>
      <c r="R385" s="92"/>
      <c r="S385" s="133">
        <v>41621</v>
      </c>
      <c r="T385" s="133">
        <v>41621</v>
      </c>
      <c r="U385" s="92" t="s">
        <v>1094</v>
      </c>
      <c r="V385" s="122">
        <v>300</v>
      </c>
      <c r="W385" s="122">
        <v>14040</v>
      </c>
      <c r="X385" s="113">
        <v>1183.08</v>
      </c>
      <c r="Y385" s="122">
        <v>14046</v>
      </c>
      <c r="Z385" s="113">
        <v>1183.08</v>
      </c>
      <c r="AA385" s="113">
        <v>0</v>
      </c>
      <c r="AB385" s="113">
        <v>0</v>
      </c>
      <c r="AC385" s="122">
        <v>51260</v>
      </c>
      <c r="AD385" s="113">
        <v>0</v>
      </c>
      <c r="AE385" s="122" t="s">
        <v>433</v>
      </c>
      <c r="AF385" s="92"/>
      <c r="AG385" s="92"/>
      <c r="AH385" s="92" t="s">
        <v>2</v>
      </c>
      <c r="AI385" s="92" t="s">
        <v>1785</v>
      </c>
      <c r="AJ385" s="92" t="s">
        <v>1787</v>
      </c>
      <c r="AK385" s="92" t="s">
        <v>1779</v>
      </c>
      <c r="AL385" s="92">
        <v>0</v>
      </c>
      <c r="AM385" s="92">
        <v>0</v>
      </c>
    </row>
    <row r="386" spans="2:39">
      <c r="B386" s="122">
        <v>2149</v>
      </c>
      <c r="C386" s="132">
        <v>110102</v>
      </c>
      <c r="D386" s="122">
        <v>109576</v>
      </c>
      <c r="E386" s="92" t="s">
        <v>1626</v>
      </c>
      <c r="F386" t="s">
        <v>1108</v>
      </c>
      <c r="I386" s="122">
        <v>1</v>
      </c>
      <c r="J386" s="92"/>
      <c r="K386" s="122">
        <v>0</v>
      </c>
      <c r="L386" s="92" t="s">
        <v>1107</v>
      </c>
      <c r="M386" s="92"/>
      <c r="N386" s="92" t="s">
        <v>1800</v>
      </c>
      <c r="O386" s="92" t="s">
        <v>1800</v>
      </c>
      <c r="P386" s="92"/>
      <c r="Q386" s="92"/>
      <c r="R386" s="92"/>
      <c r="S386" s="133">
        <v>41639</v>
      </c>
      <c r="T386" s="133">
        <v>41639</v>
      </c>
      <c r="U386" s="92" t="s">
        <v>1096</v>
      </c>
      <c r="V386" s="122">
        <v>506</v>
      </c>
      <c r="W386" s="122">
        <v>14090</v>
      </c>
      <c r="X386" s="113">
        <v>1022.03</v>
      </c>
      <c r="Y386" s="122">
        <v>14096</v>
      </c>
      <c r="Z386" s="113">
        <v>1022.03</v>
      </c>
      <c r="AA386" s="113">
        <v>0</v>
      </c>
      <c r="AB386" s="113">
        <v>0</v>
      </c>
      <c r="AC386" s="122">
        <v>57260</v>
      </c>
      <c r="AD386" s="113">
        <v>0</v>
      </c>
      <c r="AE386" s="122" t="s">
        <v>433</v>
      </c>
      <c r="AF386" s="92"/>
      <c r="AG386" s="92"/>
      <c r="AH386" s="92" t="s">
        <v>2</v>
      </c>
      <c r="AI386" s="92" t="s">
        <v>1785</v>
      </c>
      <c r="AJ386" s="92" t="s">
        <v>1787</v>
      </c>
      <c r="AK386" s="92" t="s">
        <v>1779</v>
      </c>
      <c r="AL386" s="92">
        <v>0</v>
      </c>
      <c r="AM386" s="92">
        <v>0</v>
      </c>
    </row>
    <row r="387" spans="2:39">
      <c r="B387" s="122">
        <v>2149</v>
      </c>
      <c r="C387" s="132">
        <v>110075</v>
      </c>
      <c r="D387" s="122">
        <v>27371</v>
      </c>
      <c r="E387" s="92" t="s">
        <v>1626</v>
      </c>
      <c r="F387" t="s">
        <v>1106</v>
      </c>
      <c r="I387" s="122">
        <v>1</v>
      </c>
      <c r="J387" s="92"/>
      <c r="K387" s="122">
        <v>0</v>
      </c>
      <c r="L387" s="92" t="s">
        <v>1105</v>
      </c>
      <c r="M387" s="92"/>
      <c r="N387" s="92" t="s">
        <v>1788</v>
      </c>
      <c r="O387" s="92" t="s">
        <v>1789</v>
      </c>
      <c r="P387" s="92" t="s">
        <v>683</v>
      </c>
      <c r="Q387" s="92"/>
      <c r="R387" s="92"/>
      <c r="S387" s="133">
        <v>41639</v>
      </c>
      <c r="T387" s="133">
        <v>41639</v>
      </c>
      <c r="U387" s="92" t="s">
        <v>1094</v>
      </c>
      <c r="V387" s="122">
        <v>300</v>
      </c>
      <c r="W387" s="122">
        <v>14040</v>
      </c>
      <c r="X387" s="113">
        <v>9990.93</v>
      </c>
      <c r="Y387" s="122">
        <v>14046</v>
      </c>
      <c r="Z387" s="113">
        <v>9990.93</v>
      </c>
      <c r="AA387" s="113">
        <v>0</v>
      </c>
      <c r="AB387" s="113">
        <v>0</v>
      </c>
      <c r="AC387" s="122">
        <v>51260</v>
      </c>
      <c r="AD387" s="113">
        <v>0</v>
      </c>
      <c r="AE387" s="122" t="s">
        <v>433</v>
      </c>
      <c r="AF387" s="92"/>
      <c r="AG387" s="92"/>
      <c r="AH387" s="92" t="s">
        <v>2</v>
      </c>
      <c r="AI387" s="92" t="s">
        <v>1785</v>
      </c>
      <c r="AJ387" s="92" t="s">
        <v>1787</v>
      </c>
      <c r="AK387" s="92" t="s">
        <v>1779</v>
      </c>
      <c r="AL387" s="92">
        <v>0</v>
      </c>
      <c r="AM387" s="92">
        <v>0</v>
      </c>
    </row>
    <row r="388" spans="2:39">
      <c r="B388" s="122">
        <v>2149</v>
      </c>
      <c r="C388" s="132">
        <v>110007</v>
      </c>
      <c r="D388" s="122" t="s">
        <v>433</v>
      </c>
      <c r="E388" s="92" t="s">
        <v>1626</v>
      </c>
      <c r="F388" t="s">
        <v>1104</v>
      </c>
      <c r="I388" s="122">
        <v>1</v>
      </c>
      <c r="J388" s="92"/>
      <c r="K388" s="122">
        <v>0</v>
      </c>
      <c r="L388" s="92" t="s">
        <v>1016</v>
      </c>
      <c r="M388" s="92"/>
      <c r="N388" s="92" t="s">
        <v>1800</v>
      </c>
      <c r="O388" s="92" t="s">
        <v>1800</v>
      </c>
      <c r="P388" s="92"/>
      <c r="Q388" s="92"/>
      <c r="R388" s="92"/>
      <c r="S388" s="133">
        <v>41638</v>
      </c>
      <c r="T388" s="133">
        <v>41638</v>
      </c>
      <c r="U388" s="92" t="s">
        <v>1103</v>
      </c>
      <c r="V388" s="122">
        <v>600</v>
      </c>
      <c r="W388" s="122">
        <v>14090</v>
      </c>
      <c r="X388" s="113">
        <v>4622.1000000000004</v>
      </c>
      <c r="Y388" s="122">
        <v>14096</v>
      </c>
      <c r="Z388" s="113">
        <v>4622.1000000000004</v>
      </c>
      <c r="AA388" s="113">
        <v>0</v>
      </c>
      <c r="AB388" s="113">
        <v>0</v>
      </c>
      <c r="AC388" s="122">
        <v>57260</v>
      </c>
      <c r="AD388" s="113">
        <v>0</v>
      </c>
      <c r="AE388" s="122" t="s">
        <v>433</v>
      </c>
      <c r="AF388" s="92"/>
      <c r="AG388" s="92"/>
      <c r="AH388" s="92" t="s">
        <v>2</v>
      </c>
      <c r="AI388" s="92" t="s">
        <v>1785</v>
      </c>
      <c r="AJ388" s="92" t="s">
        <v>1787</v>
      </c>
      <c r="AK388" s="92" t="s">
        <v>1779</v>
      </c>
      <c r="AL388" s="92">
        <v>0</v>
      </c>
      <c r="AM388" s="92">
        <v>0</v>
      </c>
    </row>
    <row r="389" spans="2:39">
      <c r="B389" s="122">
        <v>2149</v>
      </c>
      <c r="C389" s="132">
        <v>109995</v>
      </c>
      <c r="D389" s="122" t="s">
        <v>433</v>
      </c>
      <c r="E389" s="92" t="s">
        <v>1626</v>
      </c>
      <c r="F389" t="s">
        <v>1102</v>
      </c>
      <c r="I389" s="122">
        <v>4</v>
      </c>
      <c r="J389" s="92"/>
      <c r="K389" s="122">
        <v>0</v>
      </c>
      <c r="L389" s="92" t="s">
        <v>791</v>
      </c>
      <c r="M389" s="92"/>
      <c r="N389" s="92" t="s">
        <v>646</v>
      </c>
      <c r="O389" s="92" t="s">
        <v>1789</v>
      </c>
      <c r="P389" s="92"/>
      <c r="Q389" s="92" t="s">
        <v>1793</v>
      </c>
      <c r="R389" s="92" t="s">
        <v>1794</v>
      </c>
      <c r="S389" s="133">
        <v>41639</v>
      </c>
      <c r="T389" s="133">
        <v>41639</v>
      </c>
      <c r="U389" s="92" t="s">
        <v>1101</v>
      </c>
      <c r="V389" s="122">
        <v>1200</v>
      </c>
      <c r="W389" s="122">
        <v>14050</v>
      </c>
      <c r="X389" s="113">
        <v>24400</v>
      </c>
      <c r="Y389" s="122">
        <v>14056</v>
      </c>
      <c r="Z389" s="113">
        <v>21011.06</v>
      </c>
      <c r="AA389" s="113">
        <v>3388.9399999999987</v>
      </c>
      <c r="AB389" s="113">
        <v>677.76</v>
      </c>
      <c r="AC389" s="122">
        <v>54260</v>
      </c>
      <c r="AD389" s="113">
        <v>169.44</v>
      </c>
      <c r="AE389" s="122" t="s">
        <v>433</v>
      </c>
      <c r="AF389" s="92"/>
      <c r="AG389" s="92"/>
      <c r="AH389" s="92" t="s">
        <v>2</v>
      </c>
      <c r="AI389" s="92" t="s">
        <v>1785</v>
      </c>
      <c r="AJ389" s="92" t="s">
        <v>1787</v>
      </c>
      <c r="AK389" s="92" t="s">
        <v>1779</v>
      </c>
      <c r="AL389" s="92">
        <v>0</v>
      </c>
      <c r="AM389" s="92">
        <v>0</v>
      </c>
    </row>
    <row r="390" spans="2:39">
      <c r="B390" s="122">
        <v>2149</v>
      </c>
      <c r="C390" s="132">
        <v>109631</v>
      </c>
      <c r="D390" s="122" t="s">
        <v>433</v>
      </c>
      <c r="E390" s="92" t="s">
        <v>1626</v>
      </c>
      <c r="F390" t="s">
        <v>1100</v>
      </c>
      <c r="I390" s="122">
        <v>30</v>
      </c>
      <c r="J390" s="92"/>
      <c r="K390" s="122">
        <v>0</v>
      </c>
      <c r="L390" s="92" t="s">
        <v>1032</v>
      </c>
      <c r="M390" s="92"/>
      <c r="N390" s="92" t="s">
        <v>646</v>
      </c>
      <c r="O390" s="92" t="s">
        <v>1789</v>
      </c>
      <c r="P390" s="92"/>
      <c r="Q390" s="92"/>
      <c r="R390" s="92"/>
      <c r="S390" s="133">
        <v>41436</v>
      </c>
      <c r="T390" s="133">
        <v>41436</v>
      </c>
      <c r="U390" s="92" t="s">
        <v>1086</v>
      </c>
      <c r="V390" s="122">
        <v>700</v>
      </c>
      <c r="W390" s="122">
        <v>14050</v>
      </c>
      <c r="X390" s="113">
        <v>1416.9</v>
      </c>
      <c r="Y390" s="122">
        <v>14056</v>
      </c>
      <c r="Z390" s="113">
        <v>1416.9</v>
      </c>
      <c r="AA390" s="113">
        <v>0</v>
      </c>
      <c r="AB390" s="113">
        <v>0</v>
      </c>
      <c r="AC390" s="122">
        <v>54260</v>
      </c>
      <c r="AD390" s="113">
        <v>0</v>
      </c>
      <c r="AE390" s="122" t="s">
        <v>433</v>
      </c>
      <c r="AF390" s="92"/>
      <c r="AG390" s="92"/>
      <c r="AH390" s="92" t="s">
        <v>2</v>
      </c>
      <c r="AI390" s="92" t="s">
        <v>1785</v>
      </c>
      <c r="AJ390" s="92" t="s">
        <v>1787</v>
      </c>
      <c r="AK390" s="92" t="s">
        <v>1779</v>
      </c>
      <c r="AL390" s="92">
        <v>0</v>
      </c>
      <c r="AM390" s="92">
        <v>0</v>
      </c>
    </row>
    <row r="391" spans="2:39">
      <c r="B391" s="122">
        <v>2149</v>
      </c>
      <c r="C391" s="132">
        <v>109630</v>
      </c>
      <c r="D391" s="122" t="s">
        <v>433</v>
      </c>
      <c r="E391" s="92" t="s">
        <v>1626</v>
      </c>
      <c r="F391" t="s">
        <v>1099</v>
      </c>
      <c r="I391" s="122">
        <v>100</v>
      </c>
      <c r="J391" s="92"/>
      <c r="K391" s="122">
        <v>0</v>
      </c>
      <c r="L391" s="92" t="s">
        <v>1032</v>
      </c>
      <c r="M391" s="92"/>
      <c r="N391" s="92" t="s">
        <v>646</v>
      </c>
      <c r="O391" s="92" t="s">
        <v>1789</v>
      </c>
      <c r="P391" s="92"/>
      <c r="Q391" s="92"/>
      <c r="R391" s="92"/>
      <c r="S391" s="133">
        <v>41436</v>
      </c>
      <c r="T391" s="133">
        <v>41436</v>
      </c>
      <c r="U391" s="92" t="s">
        <v>1086</v>
      </c>
      <c r="V391" s="122">
        <v>700</v>
      </c>
      <c r="W391" s="122">
        <v>14050</v>
      </c>
      <c r="X391" s="113">
        <v>7104.58</v>
      </c>
      <c r="Y391" s="122">
        <v>14056</v>
      </c>
      <c r="Z391" s="113">
        <v>7104.58</v>
      </c>
      <c r="AA391" s="113">
        <v>0</v>
      </c>
      <c r="AB391" s="113">
        <v>0</v>
      </c>
      <c r="AC391" s="122">
        <v>54260</v>
      </c>
      <c r="AD391" s="113">
        <v>0</v>
      </c>
      <c r="AE391" s="122" t="s">
        <v>433</v>
      </c>
      <c r="AF391" s="92"/>
      <c r="AG391" s="92"/>
      <c r="AH391" s="92" t="s">
        <v>2</v>
      </c>
      <c r="AI391" s="92" t="s">
        <v>1785</v>
      </c>
      <c r="AJ391" s="92" t="s">
        <v>1787</v>
      </c>
      <c r="AK391" s="92" t="s">
        <v>1779</v>
      </c>
      <c r="AL391" s="92">
        <v>0</v>
      </c>
      <c r="AM391" s="92">
        <v>0</v>
      </c>
    </row>
    <row r="392" spans="2:39">
      <c r="B392" s="122">
        <v>2149</v>
      </c>
      <c r="C392" s="132">
        <v>109629</v>
      </c>
      <c r="D392" s="122" t="s">
        <v>433</v>
      </c>
      <c r="E392" s="92" t="s">
        <v>1626</v>
      </c>
      <c r="F392" t="s">
        <v>1098</v>
      </c>
      <c r="I392" s="122">
        <v>100</v>
      </c>
      <c r="J392" s="92"/>
      <c r="K392" s="122">
        <v>0</v>
      </c>
      <c r="L392" s="92" t="s">
        <v>1032</v>
      </c>
      <c r="M392" s="92"/>
      <c r="N392" s="92" t="s">
        <v>646</v>
      </c>
      <c r="O392" s="92" t="s">
        <v>1789</v>
      </c>
      <c r="P392" s="92"/>
      <c r="Q392" s="92"/>
      <c r="R392" s="92"/>
      <c r="S392" s="133">
        <v>41436</v>
      </c>
      <c r="T392" s="133">
        <v>41436</v>
      </c>
      <c r="U392" s="92" t="s">
        <v>1086</v>
      </c>
      <c r="V392" s="122">
        <v>700</v>
      </c>
      <c r="W392" s="122">
        <v>14050</v>
      </c>
      <c r="X392" s="113">
        <v>3273.45</v>
      </c>
      <c r="Y392" s="122">
        <v>14056</v>
      </c>
      <c r="Z392" s="113">
        <v>3273.45</v>
      </c>
      <c r="AA392" s="113">
        <v>0</v>
      </c>
      <c r="AB392" s="113">
        <v>0</v>
      </c>
      <c r="AC392" s="122">
        <v>54260</v>
      </c>
      <c r="AD392" s="113">
        <v>0</v>
      </c>
      <c r="AE392" s="122" t="s">
        <v>433</v>
      </c>
      <c r="AF392" s="92"/>
      <c r="AG392" s="92"/>
      <c r="AH392" s="92" t="s">
        <v>2</v>
      </c>
      <c r="AI392" s="92" t="s">
        <v>1785</v>
      </c>
      <c r="AJ392" s="92" t="s">
        <v>1787</v>
      </c>
      <c r="AK392" s="92" t="s">
        <v>1779</v>
      </c>
      <c r="AL392" s="92">
        <v>0</v>
      </c>
      <c r="AM392" s="92">
        <v>0</v>
      </c>
    </row>
    <row r="393" spans="2:39">
      <c r="B393" s="122">
        <v>2149</v>
      </c>
      <c r="C393" s="132">
        <v>109576</v>
      </c>
      <c r="D393" s="122" t="s">
        <v>433</v>
      </c>
      <c r="E393" s="92" t="s">
        <v>1626</v>
      </c>
      <c r="F393" t="s">
        <v>1097</v>
      </c>
      <c r="I393" s="122">
        <v>1</v>
      </c>
      <c r="J393" s="92"/>
      <c r="K393" s="122">
        <v>0</v>
      </c>
      <c r="L393" s="92"/>
      <c r="M393" s="92"/>
      <c r="N393" s="92" t="s">
        <v>1800</v>
      </c>
      <c r="O393" s="92" t="s">
        <v>1800</v>
      </c>
      <c r="P393" s="92"/>
      <c r="Q393" s="92"/>
      <c r="R393" s="92"/>
      <c r="S393" s="133">
        <v>41639</v>
      </c>
      <c r="T393" s="133">
        <v>41639</v>
      </c>
      <c r="U393" s="92" t="s">
        <v>1096</v>
      </c>
      <c r="V393" s="122">
        <v>506</v>
      </c>
      <c r="W393" s="122">
        <v>14090</v>
      </c>
      <c r="X393" s="113">
        <v>17617.71</v>
      </c>
      <c r="Y393" s="122">
        <v>14096</v>
      </c>
      <c r="Z393" s="113">
        <v>17617.71</v>
      </c>
      <c r="AA393" s="113">
        <v>0</v>
      </c>
      <c r="AB393" s="113">
        <v>0</v>
      </c>
      <c r="AC393" s="122">
        <v>57260</v>
      </c>
      <c r="AD393" s="113">
        <v>0</v>
      </c>
      <c r="AE393" s="122" t="s">
        <v>433</v>
      </c>
      <c r="AF393" s="92"/>
      <c r="AG393" s="92"/>
      <c r="AH393" s="92" t="s">
        <v>2</v>
      </c>
      <c r="AI393" s="92" t="s">
        <v>1785</v>
      </c>
      <c r="AJ393" s="92" t="s">
        <v>1787</v>
      </c>
      <c r="AK393" s="92" t="s">
        <v>1779</v>
      </c>
      <c r="AL393" s="92">
        <v>0</v>
      </c>
      <c r="AM393" s="92">
        <v>0</v>
      </c>
    </row>
    <row r="394" spans="2:39">
      <c r="B394" s="122">
        <v>2149</v>
      </c>
      <c r="C394" s="132">
        <v>109513</v>
      </c>
      <c r="D394" s="122">
        <v>27371</v>
      </c>
      <c r="E394" s="92" t="s">
        <v>1626</v>
      </c>
      <c r="F394" t="s">
        <v>1095</v>
      </c>
      <c r="I394" s="122">
        <v>1</v>
      </c>
      <c r="J394" s="92"/>
      <c r="K394" s="122">
        <v>0</v>
      </c>
      <c r="L394" s="92"/>
      <c r="M394" s="92"/>
      <c r="N394" s="92" t="s">
        <v>1788</v>
      </c>
      <c r="O394" s="92" t="s">
        <v>1789</v>
      </c>
      <c r="P394" s="92" t="s">
        <v>683</v>
      </c>
      <c r="Q394" s="92"/>
      <c r="R394" s="92"/>
      <c r="S394" s="133">
        <v>41621</v>
      </c>
      <c r="T394" s="133">
        <v>41621</v>
      </c>
      <c r="U394" s="92" t="s">
        <v>1094</v>
      </c>
      <c r="V394" s="122">
        <v>300</v>
      </c>
      <c r="W394" s="122">
        <v>14040</v>
      </c>
      <c r="X394" s="113">
        <v>8711.2999999999993</v>
      </c>
      <c r="Y394" s="122">
        <v>14046</v>
      </c>
      <c r="Z394" s="113">
        <v>8711.2999999999993</v>
      </c>
      <c r="AA394" s="113">
        <v>0</v>
      </c>
      <c r="AB394" s="113">
        <v>0</v>
      </c>
      <c r="AC394" s="122">
        <v>51260</v>
      </c>
      <c r="AD394" s="113">
        <v>0</v>
      </c>
      <c r="AE394" s="122" t="s">
        <v>433</v>
      </c>
      <c r="AF394" s="92"/>
      <c r="AG394" s="92"/>
      <c r="AH394" s="92" t="s">
        <v>2</v>
      </c>
      <c r="AI394" s="92" t="s">
        <v>1785</v>
      </c>
      <c r="AJ394" s="92" t="s">
        <v>1787</v>
      </c>
      <c r="AK394" s="92" t="s">
        <v>1779</v>
      </c>
      <c r="AL394" s="92">
        <v>0</v>
      </c>
      <c r="AM394" s="92">
        <v>0</v>
      </c>
    </row>
    <row r="395" spans="2:39">
      <c r="B395" s="122">
        <v>2149</v>
      </c>
      <c r="C395" s="132">
        <v>107424</v>
      </c>
      <c r="D395" s="122" t="s">
        <v>433</v>
      </c>
      <c r="E395" s="92" t="s">
        <v>1626</v>
      </c>
      <c r="F395" t="s">
        <v>1093</v>
      </c>
      <c r="I395" s="122">
        <v>10</v>
      </c>
      <c r="J395" s="92"/>
      <c r="K395" s="122">
        <v>0</v>
      </c>
      <c r="L395" s="92" t="s">
        <v>791</v>
      </c>
      <c r="M395" s="92"/>
      <c r="N395" s="92" t="s">
        <v>646</v>
      </c>
      <c r="O395" s="92" t="s">
        <v>1789</v>
      </c>
      <c r="P395" s="92"/>
      <c r="Q395" s="92" t="s">
        <v>1818</v>
      </c>
      <c r="R395" s="92" t="s">
        <v>1791</v>
      </c>
      <c r="S395" s="133">
        <v>41536</v>
      </c>
      <c r="T395" s="133">
        <v>41536</v>
      </c>
      <c r="U395" s="92" t="s">
        <v>1092</v>
      </c>
      <c r="V395" s="122">
        <v>1200</v>
      </c>
      <c r="W395" s="122">
        <v>14050</v>
      </c>
      <c r="X395" s="113">
        <v>4100</v>
      </c>
      <c r="Y395" s="122">
        <v>14056</v>
      </c>
      <c r="Z395" s="113">
        <v>3616</v>
      </c>
      <c r="AA395" s="113">
        <v>484</v>
      </c>
      <c r="AB395" s="113">
        <v>113.88</v>
      </c>
      <c r="AC395" s="122">
        <v>54260</v>
      </c>
      <c r="AD395" s="113">
        <v>28.47</v>
      </c>
      <c r="AE395" s="122" t="s">
        <v>433</v>
      </c>
      <c r="AF395" s="92"/>
      <c r="AG395" s="92"/>
      <c r="AH395" s="92" t="s">
        <v>2</v>
      </c>
      <c r="AI395" s="92" t="s">
        <v>1785</v>
      </c>
      <c r="AJ395" s="92" t="s">
        <v>1787</v>
      </c>
      <c r="AK395" s="92" t="s">
        <v>1779</v>
      </c>
      <c r="AL395" s="92">
        <v>0</v>
      </c>
      <c r="AM395" s="92">
        <v>0</v>
      </c>
    </row>
    <row r="396" spans="2:39">
      <c r="B396" s="122">
        <v>2149</v>
      </c>
      <c r="C396" s="132">
        <v>107208</v>
      </c>
      <c r="D396" s="122" t="s">
        <v>433</v>
      </c>
      <c r="E396" s="92" t="s">
        <v>1626</v>
      </c>
      <c r="F396" t="s">
        <v>300</v>
      </c>
      <c r="I396" s="122">
        <v>1</v>
      </c>
      <c r="J396" s="92" t="s">
        <v>1091</v>
      </c>
      <c r="K396" s="122">
        <v>1965</v>
      </c>
      <c r="L396" s="92" t="s">
        <v>1090</v>
      </c>
      <c r="M396" s="92" t="s">
        <v>722</v>
      </c>
      <c r="N396" s="92" t="s">
        <v>1788</v>
      </c>
      <c r="O396" s="92" t="s">
        <v>1789</v>
      </c>
      <c r="P396" s="92" t="s">
        <v>1817</v>
      </c>
      <c r="Q396" s="92"/>
      <c r="R396" s="92"/>
      <c r="S396" s="133">
        <v>39755</v>
      </c>
      <c r="T396" s="133">
        <v>39755</v>
      </c>
      <c r="U396" s="92"/>
      <c r="V396" s="122">
        <v>300</v>
      </c>
      <c r="W396" s="122">
        <v>14040</v>
      </c>
      <c r="X396" s="113">
        <v>1000</v>
      </c>
      <c r="Y396" s="122">
        <v>14046</v>
      </c>
      <c r="Z396" s="113">
        <v>1000</v>
      </c>
      <c r="AA396" s="113">
        <v>0</v>
      </c>
      <c r="AB396" s="113">
        <v>0</v>
      </c>
      <c r="AC396" s="122">
        <v>51260</v>
      </c>
      <c r="AD396" s="113">
        <v>0</v>
      </c>
      <c r="AE396" s="122" t="s">
        <v>663</v>
      </c>
      <c r="AF396" s="92" t="s">
        <v>905</v>
      </c>
      <c r="AG396" s="92">
        <v>8011</v>
      </c>
      <c r="AH396" s="92" t="s">
        <v>2</v>
      </c>
      <c r="AI396" s="92" t="s">
        <v>1785</v>
      </c>
      <c r="AJ396" s="92" t="s">
        <v>1787</v>
      </c>
      <c r="AK396" s="92" t="s">
        <v>1779</v>
      </c>
      <c r="AL396" s="92">
        <v>0</v>
      </c>
      <c r="AM396" s="92">
        <v>0</v>
      </c>
    </row>
    <row r="397" spans="2:39">
      <c r="B397" s="122">
        <v>2149</v>
      </c>
      <c r="C397" s="132">
        <v>107054</v>
      </c>
      <c r="D397" s="122" t="s">
        <v>433</v>
      </c>
      <c r="E397" s="92" t="s">
        <v>1626</v>
      </c>
      <c r="F397" t="s">
        <v>1089</v>
      </c>
      <c r="I397" s="122">
        <v>3</v>
      </c>
      <c r="J397" s="92"/>
      <c r="K397" s="122">
        <v>0</v>
      </c>
      <c r="L397" s="92" t="s">
        <v>986</v>
      </c>
      <c r="M397" s="92"/>
      <c r="N397" s="92" t="s">
        <v>646</v>
      </c>
      <c r="O397" s="92" t="s">
        <v>1789</v>
      </c>
      <c r="P397" s="92"/>
      <c r="Q397" s="92" t="s">
        <v>1811</v>
      </c>
      <c r="R397" s="92" t="s">
        <v>1794</v>
      </c>
      <c r="S397" s="133">
        <v>41508</v>
      </c>
      <c r="T397" s="133">
        <v>41508</v>
      </c>
      <c r="U397" s="92" t="s">
        <v>1088</v>
      </c>
      <c r="V397" s="122">
        <v>1200</v>
      </c>
      <c r="W397" s="122">
        <v>14050</v>
      </c>
      <c r="X397" s="113">
        <v>9676</v>
      </c>
      <c r="Y397" s="122">
        <v>14056</v>
      </c>
      <c r="Z397" s="113">
        <v>8600.83</v>
      </c>
      <c r="AA397" s="113">
        <v>1075.17</v>
      </c>
      <c r="AB397" s="113">
        <v>268.76</v>
      </c>
      <c r="AC397" s="122">
        <v>54260</v>
      </c>
      <c r="AD397" s="113">
        <v>67.19</v>
      </c>
      <c r="AE397" s="122" t="s">
        <v>433</v>
      </c>
      <c r="AF397" s="92"/>
      <c r="AG397" s="92"/>
      <c r="AH397" s="92" t="s">
        <v>2</v>
      </c>
      <c r="AI397" s="92" t="s">
        <v>1785</v>
      </c>
      <c r="AJ397" s="92" t="s">
        <v>1787</v>
      </c>
      <c r="AK397" s="92" t="s">
        <v>1779</v>
      </c>
      <c r="AL397" s="92">
        <v>0</v>
      </c>
      <c r="AM397" s="92">
        <v>0</v>
      </c>
    </row>
    <row r="398" spans="2:39">
      <c r="B398" s="122">
        <v>2149</v>
      </c>
      <c r="C398" s="132">
        <v>105015</v>
      </c>
      <c r="D398" s="122" t="s">
        <v>433</v>
      </c>
      <c r="E398" s="92" t="s">
        <v>1626</v>
      </c>
      <c r="F398" t="s">
        <v>1087</v>
      </c>
      <c r="I398" s="122">
        <v>100</v>
      </c>
      <c r="J398" s="92"/>
      <c r="K398" s="122">
        <v>0</v>
      </c>
      <c r="L398" s="92" t="s">
        <v>844</v>
      </c>
      <c r="M398" s="92"/>
      <c r="N398" s="92" t="s">
        <v>646</v>
      </c>
      <c r="O398" s="92" t="s">
        <v>1789</v>
      </c>
      <c r="P398" s="92"/>
      <c r="Q398" s="92"/>
      <c r="R398" s="92"/>
      <c r="S398" s="133">
        <v>41436</v>
      </c>
      <c r="T398" s="133">
        <v>41436</v>
      </c>
      <c r="U398" s="92" t="s">
        <v>1086</v>
      </c>
      <c r="V398" s="122">
        <v>700</v>
      </c>
      <c r="W398" s="122">
        <v>14050</v>
      </c>
      <c r="X398" s="113">
        <v>7094.89</v>
      </c>
      <c r="Y398" s="122">
        <v>14056</v>
      </c>
      <c r="Z398" s="113">
        <v>7094.89</v>
      </c>
      <c r="AA398" s="113">
        <v>0</v>
      </c>
      <c r="AB398" s="113">
        <v>0</v>
      </c>
      <c r="AC398" s="122">
        <v>54260</v>
      </c>
      <c r="AD398" s="113">
        <v>0</v>
      </c>
      <c r="AE398" s="122" t="s">
        <v>433</v>
      </c>
      <c r="AF398" s="92"/>
      <c r="AG398" s="92"/>
      <c r="AH398" s="92" t="s">
        <v>2</v>
      </c>
      <c r="AI398" s="92" t="s">
        <v>1785</v>
      </c>
      <c r="AJ398" s="92" t="s">
        <v>1787</v>
      </c>
      <c r="AK398" s="92" t="s">
        <v>1779</v>
      </c>
      <c r="AL398" s="92">
        <v>0</v>
      </c>
      <c r="AM398" s="92">
        <v>0</v>
      </c>
    </row>
    <row r="399" spans="2:39">
      <c r="B399" s="122">
        <v>2149</v>
      </c>
      <c r="C399" s="132">
        <v>103832</v>
      </c>
      <c r="D399" s="122" t="s">
        <v>433</v>
      </c>
      <c r="E399" s="92" t="s">
        <v>1626</v>
      </c>
      <c r="F399" t="s">
        <v>470</v>
      </c>
      <c r="I399" s="122">
        <v>23</v>
      </c>
      <c r="J399" s="92"/>
      <c r="K399" s="122">
        <v>0</v>
      </c>
      <c r="L399" s="92" t="s">
        <v>798</v>
      </c>
      <c r="M399" s="92"/>
      <c r="N399" s="92" t="s">
        <v>646</v>
      </c>
      <c r="O399" s="92" t="s">
        <v>1789</v>
      </c>
      <c r="P399" s="92"/>
      <c r="Q399" s="92" t="s">
        <v>1790</v>
      </c>
      <c r="R399" s="92" t="s">
        <v>1791</v>
      </c>
      <c r="S399" s="133">
        <v>41394</v>
      </c>
      <c r="T399" s="133">
        <v>41394</v>
      </c>
      <c r="U399" s="92" t="s">
        <v>1085</v>
      </c>
      <c r="V399" s="122">
        <v>1200</v>
      </c>
      <c r="W399" s="122">
        <v>14050</v>
      </c>
      <c r="X399" s="113">
        <v>10212</v>
      </c>
      <c r="Y399" s="122">
        <v>14056</v>
      </c>
      <c r="Z399" s="113">
        <v>9361.01</v>
      </c>
      <c r="AA399" s="113">
        <v>850.98999999999978</v>
      </c>
      <c r="AB399" s="113">
        <v>283.68</v>
      </c>
      <c r="AC399" s="122">
        <v>54260</v>
      </c>
      <c r="AD399" s="113">
        <v>70.92</v>
      </c>
      <c r="AE399" s="122" t="s">
        <v>433</v>
      </c>
      <c r="AF399" s="92"/>
      <c r="AG399" s="92"/>
      <c r="AH399" s="92" t="s">
        <v>2</v>
      </c>
      <c r="AI399" s="92" t="s">
        <v>1785</v>
      </c>
      <c r="AJ399" s="92" t="s">
        <v>1787</v>
      </c>
      <c r="AK399" s="92" t="s">
        <v>1779</v>
      </c>
      <c r="AL399" s="92">
        <v>0</v>
      </c>
      <c r="AM399" s="92">
        <v>0</v>
      </c>
    </row>
    <row r="400" spans="2:39">
      <c r="B400" s="122">
        <v>2149</v>
      </c>
      <c r="C400" s="132">
        <v>103242</v>
      </c>
      <c r="D400" s="122" t="s">
        <v>433</v>
      </c>
      <c r="E400" s="92" t="s">
        <v>1626</v>
      </c>
      <c r="F400" t="s">
        <v>1084</v>
      </c>
      <c r="I400" s="122">
        <v>1</v>
      </c>
      <c r="J400" s="92"/>
      <c r="K400" s="122">
        <v>0</v>
      </c>
      <c r="L400" s="92" t="s">
        <v>1083</v>
      </c>
      <c r="M400" s="92"/>
      <c r="N400" s="92" t="s">
        <v>646</v>
      </c>
      <c r="O400" s="92" t="s">
        <v>1789</v>
      </c>
      <c r="P400" s="92"/>
      <c r="Q400" s="92"/>
      <c r="R400" s="92"/>
      <c r="S400" s="133">
        <v>41334</v>
      </c>
      <c r="T400" s="133">
        <v>41334</v>
      </c>
      <c r="U400" s="92" t="s">
        <v>1082</v>
      </c>
      <c r="V400" s="122">
        <v>1200</v>
      </c>
      <c r="W400" s="122">
        <v>14050</v>
      </c>
      <c r="X400" s="113">
        <v>5263.3</v>
      </c>
      <c r="Y400" s="122">
        <v>14056</v>
      </c>
      <c r="Z400" s="113">
        <v>4897.49</v>
      </c>
      <c r="AA400" s="113">
        <v>365.8100000000004</v>
      </c>
      <c r="AB400" s="113">
        <v>146.19999999999999</v>
      </c>
      <c r="AC400" s="122">
        <v>54260</v>
      </c>
      <c r="AD400" s="113">
        <v>36.549999999999997</v>
      </c>
      <c r="AE400" s="122" t="s">
        <v>433</v>
      </c>
      <c r="AF400" s="92"/>
      <c r="AG400" s="92"/>
      <c r="AH400" s="92" t="s">
        <v>2</v>
      </c>
      <c r="AI400" s="92" t="s">
        <v>1785</v>
      </c>
      <c r="AJ400" s="92" t="s">
        <v>1787</v>
      </c>
      <c r="AK400" s="92" t="s">
        <v>1779</v>
      </c>
      <c r="AL400" s="92">
        <v>0</v>
      </c>
      <c r="AM400" s="92">
        <v>0</v>
      </c>
    </row>
    <row r="401" spans="2:39">
      <c r="B401" s="122">
        <v>2149</v>
      </c>
      <c r="C401" s="132">
        <v>100467</v>
      </c>
      <c r="D401" s="122" t="s">
        <v>433</v>
      </c>
      <c r="E401" s="92" t="s">
        <v>1626</v>
      </c>
      <c r="F401" t="s">
        <v>705</v>
      </c>
      <c r="I401" s="122">
        <v>1</v>
      </c>
      <c r="J401" s="92"/>
      <c r="K401" s="122">
        <v>0</v>
      </c>
      <c r="L401" s="92"/>
      <c r="M401" s="92"/>
      <c r="N401" s="92" t="s">
        <v>1797</v>
      </c>
      <c r="O401" s="92" t="s">
        <v>1797</v>
      </c>
      <c r="P401" s="92"/>
      <c r="Q401" s="92"/>
      <c r="R401" s="92"/>
      <c r="S401" s="133">
        <v>37073</v>
      </c>
      <c r="T401" s="133">
        <v>37257</v>
      </c>
      <c r="U401" s="92"/>
      <c r="V401" s="122">
        <v>2000</v>
      </c>
      <c r="W401" s="122">
        <v>15250</v>
      </c>
      <c r="X401" s="113">
        <v>19856.82</v>
      </c>
      <c r="Y401" s="122">
        <v>15256</v>
      </c>
      <c r="Z401" s="113">
        <v>19856.82</v>
      </c>
      <c r="AA401" s="113">
        <v>0</v>
      </c>
      <c r="AB401" s="113">
        <v>0</v>
      </c>
      <c r="AC401" s="122">
        <v>70269</v>
      </c>
      <c r="AD401" s="113">
        <v>0</v>
      </c>
      <c r="AE401" s="122" t="s">
        <v>663</v>
      </c>
      <c r="AF401" s="92" t="s">
        <v>665</v>
      </c>
      <c r="AG401" s="92" t="s">
        <v>1212</v>
      </c>
      <c r="AH401" s="92" t="s">
        <v>2</v>
      </c>
      <c r="AI401" s="92" t="s">
        <v>1785</v>
      </c>
      <c r="AJ401" s="92" t="s">
        <v>1787</v>
      </c>
      <c r="AK401" s="92" t="e">
        <v>#N/A</v>
      </c>
      <c r="AL401" s="92" t="e">
        <v>#N/A</v>
      </c>
      <c r="AM401" s="92" t="e">
        <v>#N/A</v>
      </c>
    </row>
    <row r="402" spans="2:39">
      <c r="B402" s="122">
        <v>2149</v>
      </c>
      <c r="C402" s="132">
        <v>97283</v>
      </c>
      <c r="D402" s="122" t="s">
        <v>433</v>
      </c>
      <c r="E402" s="92" t="s">
        <v>1626</v>
      </c>
      <c r="F402" t="s">
        <v>291</v>
      </c>
      <c r="I402" s="122">
        <v>1</v>
      </c>
      <c r="J402" s="92"/>
      <c r="K402" s="122">
        <v>0</v>
      </c>
      <c r="L402" s="92" t="s">
        <v>1016</v>
      </c>
      <c r="M402" s="92"/>
      <c r="N402" s="92" t="s">
        <v>1800</v>
      </c>
      <c r="O402" s="92" t="s">
        <v>1800</v>
      </c>
      <c r="P402" s="92"/>
      <c r="Q402" s="92"/>
      <c r="R402" s="92"/>
      <c r="S402" s="133">
        <v>41199</v>
      </c>
      <c r="T402" s="133">
        <v>41199</v>
      </c>
      <c r="U402" s="92" t="s">
        <v>1081</v>
      </c>
      <c r="V402" s="122">
        <v>610</v>
      </c>
      <c r="W402" s="122">
        <v>14090</v>
      </c>
      <c r="X402" s="113">
        <v>6889.75</v>
      </c>
      <c r="Y402" s="122">
        <v>14096</v>
      </c>
      <c r="Z402" s="113">
        <v>6889.75</v>
      </c>
      <c r="AA402" s="113">
        <v>0</v>
      </c>
      <c r="AB402" s="113">
        <v>0</v>
      </c>
      <c r="AC402" s="122">
        <v>57260</v>
      </c>
      <c r="AD402" s="113">
        <v>0</v>
      </c>
      <c r="AE402" s="122" t="s">
        <v>433</v>
      </c>
      <c r="AF402" s="92"/>
      <c r="AG402" s="92"/>
      <c r="AH402" s="92" t="s">
        <v>2</v>
      </c>
      <c r="AI402" s="92" t="s">
        <v>1785</v>
      </c>
      <c r="AJ402" s="92" t="s">
        <v>1787</v>
      </c>
      <c r="AK402" s="92" t="s">
        <v>1779</v>
      </c>
      <c r="AL402" s="92">
        <v>0</v>
      </c>
      <c r="AM402" s="92">
        <v>0</v>
      </c>
    </row>
    <row r="403" spans="2:39">
      <c r="B403" s="122">
        <v>2149</v>
      </c>
      <c r="C403" s="132">
        <v>97221</v>
      </c>
      <c r="D403" s="122" t="s">
        <v>433</v>
      </c>
      <c r="E403" s="92" t="s">
        <v>1626</v>
      </c>
      <c r="F403" t="s">
        <v>1080</v>
      </c>
      <c r="I403" s="122">
        <v>1</v>
      </c>
      <c r="J403" s="92"/>
      <c r="K403" s="122">
        <v>0</v>
      </c>
      <c r="L403" s="92"/>
      <c r="M403" s="92"/>
      <c r="N403" s="92" t="s">
        <v>1800</v>
      </c>
      <c r="O403" s="92" t="s">
        <v>1800</v>
      </c>
      <c r="P403" s="92"/>
      <c r="Q403" s="92"/>
      <c r="R403" s="92"/>
      <c r="S403" s="133">
        <v>41213</v>
      </c>
      <c r="T403" s="133">
        <v>41213</v>
      </c>
      <c r="U403" s="92" t="s">
        <v>1079</v>
      </c>
      <c r="V403" s="122">
        <v>610</v>
      </c>
      <c r="W403" s="122">
        <v>14090</v>
      </c>
      <c r="X403" s="113">
        <v>11317.92</v>
      </c>
      <c r="Y403" s="122">
        <v>14096</v>
      </c>
      <c r="Z403" s="113">
        <v>11317.92</v>
      </c>
      <c r="AA403" s="113">
        <v>0</v>
      </c>
      <c r="AB403" s="113">
        <v>0</v>
      </c>
      <c r="AC403" s="122">
        <v>57260</v>
      </c>
      <c r="AD403" s="113">
        <v>0</v>
      </c>
      <c r="AE403" s="122" t="s">
        <v>433</v>
      </c>
      <c r="AF403" s="92"/>
      <c r="AG403" s="92"/>
      <c r="AH403" s="92" t="s">
        <v>2</v>
      </c>
      <c r="AI403" s="92" t="s">
        <v>1785</v>
      </c>
      <c r="AJ403" s="92" t="s">
        <v>1787</v>
      </c>
      <c r="AK403" s="92" t="s">
        <v>1779</v>
      </c>
      <c r="AL403" s="92">
        <v>0</v>
      </c>
      <c r="AM403" s="92">
        <v>0</v>
      </c>
    </row>
    <row r="404" spans="2:39">
      <c r="B404" s="122">
        <v>2149</v>
      </c>
      <c r="C404" s="132">
        <v>97148</v>
      </c>
      <c r="D404" s="122" t="s">
        <v>433</v>
      </c>
      <c r="E404" s="92" t="s">
        <v>1626</v>
      </c>
      <c r="F404" t="s">
        <v>1078</v>
      </c>
      <c r="I404" s="122">
        <v>1</v>
      </c>
      <c r="J404" s="92"/>
      <c r="K404" s="122">
        <v>0</v>
      </c>
      <c r="L404" s="92" t="s">
        <v>1077</v>
      </c>
      <c r="M404" s="92"/>
      <c r="N404" s="92" t="s">
        <v>1800</v>
      </c>
      <c r="O404" s="92" t="s">
        <v>1800</v>
      </c>
      <c r="P404" s="92"/>
      <c r="Q404" s="92"/>
      <c r="R404" s="92"/>
      <c r="S404" s="133">
        <v>41213</v>
      </c>
      <c r="T404" s="133">
        <v>41213</v>
      </c>
      <c r="U404" s="92" t="s">
        <v>1076</v>
      </c>
      <c r="V404" s="122">
        <v>610</v>
      </c>
      <c r="W404" s="122">
        <v>14090</v>
      </c>
      <c r="X404" s="113">
        <v>2408.85</v>
      </c>
      <c r="Y404" s="122">
        <v>14096</v>
      </c>
      <c r="Z404" s="113">
        <v>2408.85</v>
      </c>
      <c r="AA404" s="113">
        <v>0</v>
      </c>
      <c r="AB404" s="113">
        <v>0</v>
      </c>
      <c r="AC404" s="122">
        <v>57260</v>
      </c>
      <c r="AD404" s="113">
        <v>0</v>
      </c>
      <c r="AE404" s="122" t="s">
        <v>433</v>
      </c>
      <c r="AF404" s="92"/>
      <c r="AG404" s="92"/>
      <c r="AH404" s="92" t="s">
        <v>2</v>
      </c>
      <c r="AI404" s="92" t="s">
        <v>1785</v>
      </c>
      <c r="AJ404" s="92" t="s">
        <v>1787</v>
      </c>
      <c r="AK404" s="92" t="s">
        <v>1779</v>
      </c>
      <c r="AL404" s="92">
        <v>0</v>
      </c>
      <c r="AM404" s="92">
        <v>0</v>
      </c>
    </row>
    <row r="405" spans="2:39">
      <c r="B405" s="122">
        <v>2149</v>
      </c>
      <c r="C405" s="132">
        <v>95491</v>
      </c>
      <c r="D405" s="122" t="s">
        <v>433</v>
      </c>
      <c r="E405" s="92" t="s">
        <v>1626</v>
      </c>
      <c r="F405" t="s">
        <v>1075</v>
      </c>
      <c r="I405" s="122">
        <v>1</v>
      </c>
      <c r="J405" s="92"/>
      <c r="K405" s="122">
        <v>0</v>
      </c>
      <c r="L405" s="92" t="s">
        <v>225</v>
      </c>
      <c r="M405" s="92"/>
      <c r="N405" s="92" t="s">
        <v>1801</v>
      </c>
      <c r="O405" s="92" t="s">
        <v>1789</v>
      </c>
      <c r="P405" s="92"/>
      <c r="Q405" s="92"/>
      <c r="R405" s="92"/>
      <c r="S405" s="133">
        <v>41121</v>
      </c>
      <c r="T405" s="133">
        <v>41121</v>
      </c>
      <c r="U405" s="92" t="s">
        <v>1074</v>
      </c>
      <c r="V405" s="122">
        <v>500</v>
      </c>
      <c r="W405" s="122">
        <v>14070</v>
      </c>
      <c r="X405" s="113">
        <v>2379.38</v>
      </c>
      <c r="Y405" s="122">
        <v>14076</v>
      </c>
      <c r="Z405" s="113">
        <v>2379.38</v>
      </c>
      <c r="AA405" s="113">
        <v>0</v>
      </c>
      <c r="AB405" s="113">
        <v>0</v>
      </c>
      <c r="AC405" s="122">
        <v>51260</v>
      </c>
      <c r="AD405" s="113">
        <v>0</v>
      </c>
      <c r="AE405" s="122" t="s">
        <v>433</v>
      </c>
      <c r="AF405" s="92"/>
      <c r="AG405" s="92"/>
      <c r="AH405" s="92" t="s">
        <v>2</v>
      </c>
      <c r="AI405" s="92" t="s">
        <v>1785</v>
      </c>
      <c r="AJ405" s="92" t="s">
        <v>1787</v>
      </c>
      <c r="AK405" s="92" t="s">
        <v>1779</v>
      </c>
      <c r="AL405" s="92">
        <v>0</v>
      </c>
      <c r="AM405" s="92">
        <v>0</v>
      </c>
    </row>
    <row r="406" spans="2:39">
      <c r="B406" s="122">
        <v>2149</v>
      </c>
      <c r="C406" s="132">
        <v>95050</v>
      </c>
      <c r="D406" s="122" t="s">
        <v>433</v>
      </c>
      <c r="E406" s="92" t="s">
        <v>1626</v>
      </c>
      <c r="F406" t="s">
        <v>1073</v>
      </c>
      <c r="I406" s="122">
        <v>1</v>
      </c>
      <c r="J406" s="92"/>
      <c r="K406" s="122">
        <v>0</v>
      </c>
      <c r="L406" s="92" t="s">
        <v>978</v>
      </c>
      <c r="M406" s="92"/>
      <c r="N406" s="92" t="s">
        <v>1798</v>
      </c>
      <c r="O406" s="92" t="s">
        <v>1789</v>
      </c>
      <c r="P406" s="92"/>
      <c r="Q406" s="92"/>
      <c r="R406" s="92"/>
      <c r="S406" s="133">
        <v>41029</v>
      </c>
      <c r="T406" s="133">
        <v>41029</v>
      </c>
      <c r="U406" s="92" t="s">
        <v>1072</v>
      </c>
      <c r="V406" s="122">
        <v>300</v>
      </c>
      <c r="W406" s="122">
        <v>14110</v>
      </c>
      <c r="X406" s="113">
        <v>466.06</v>
      </c>
      <c r="Y406" s="122">
        <v>14116</v>
      </c>
      <c r="Z406" s="113">
        <v>466.06</v>
      </c>
      <c r="AA406" s="113">
        <v>0</v>
      </c>
      <c r="AB406" s="113">
        <v>0</v>
      </c>
      <c r="AC406" s="122">
        <v>70260</v>
      </c>
      <c r="AD406" s="113">
        <v>0</v>
      </c>
      <c r="AE406" s="122" t="s">
        <v>433</v>
      </c>
      <c r="AF406" s="92"/>
      <c r="AG406" s="92"/>
      <c r="AH406" s="92" t="s">
        <v>2</v>
      </c>
      <c r="AI406" s="92" t="s">
        <v>1785</v>
      </c>
      <c r="AJ406" s="92" t="s">
        <v>1787</v>
      </c>
      <c r="AK406" s="92" t="s">
        <v>1779</v>
      </c>
      <c r="AL406" s="92">
        <v>0</v>
      </c>
      <c r="AM406" s="92">
        <v>0</v>
      </c>
    </row>
    <row r="407" spans="2:39">
      <c r="B407" s="122">
        <v>2149</v>
      </c>
      <c r="C407" s="132">
        <v>94620</v>
      </c>
      <c r="D407" s="122" t="s">
        <v>433</v>
      </c>
      <c r="E407" s="92" t="s">
        <v>1626</v>
      </c>
      <c r="F407" t="s">
        <v>1071</v>
      </c>
      <c r="I407" s="122">
        <v>1</v>
      </c>
      <c r="J407" s="92"/>
      <c r="K407" s="122">
        <v>0</v>
      </c>
      <c r="L407" s="92" t="s">
        <v>1070</v>
      </c>
      <c r="M407" s="92"/>
      <c r="N407" s="92" t="s">
        <v>646</v>
      </c>
      <c r="O407" s="92" t="s">
        <v>1789</v>
      </c>
      <c r="P407" s="92"/>
      <c r="Q407" s="92"/>
      <c r="R407" s="92"/>
      <c r="S407" s="133">
        <v>41090</v>
      </c>
      <c r="T407" s="133">
        <v>41090</v>
      </c>
      <c r="U407" s="92" t="s">
        <v>1069</v>
      </c>
      <c r="V407" s="122">
        <v>500</v>
      </c>
      <c r="W407" s="122">
        <v>14050</v>
      </c>
      <c r="X407" s="113">
        <v>2180.86</v>
      </c>
      <c r="Y407" s="122">
        <v>14056</v>
      </c>
      <c r="Z407" s="113">
        <v>2180.86</v>
      </c>
      <c r="AA407" s="113">
        <v>0</v>
      </c>
      <c r="AB407" s="113">
        <v>0</v>
      </c>
      <c r="AC407" s="122">
        <v>54260</v>
      </c>
      <c r="AD407" s="113">
        <v>0</v>
      </c>
      <c r="AE407" s="122" t="s">
        <v>433</v>
      </c>
      <c r="AF407" s="92"/>
      <c r="AG407" s="92"/>
      <c r="AH407" s="92" t="s">
        <v>2</v>
      </c>
      <c r="AI407" s="92" t="s">
        <v>1785</v>
      </c>
      <c r="AJ407" s="92" t="s">
        <v>1787</v>
      </c>
      <c r="AK407" s="92" t="s">
        <v>1779</v>
      </c>
      <c r="AL407" s="92">
        <v>0</v>
      </c>
      <c r="AM407" s="92">
        <v>0</v>
      </c>
    </row>
    <row r="408" spans="2:39">
      <c r="B408" s="122">
        <v>2149</v>
      </c>
      <c r="C408" s="132">
        <v>94099</v>
      </c>
      <c r="D408" s="122" t="s">
        <v>433</v>
      </c>
      <c r="E408" s="92" t="s">
        <v>1626</v>
      </c>
      <c r="F408" t="s">
        <v>1068</v>
      </c>
      <c r="I408" s="122">
        <v>24</v>
      </c>
      <c r="J408" s="92"/>
      <c r="K408" s="122">
        <v>0</v>
      </c>
      <c r="L408" s="92" t="s">
        <v>1032</v>
      </c>
      <c r="M408" s="92"/>
      <c r="N408" s="92" t="s">
        <v>646</v>
      </c>
      <c r="O408" s="92" t="s">
        <v>1789</v>
      </c>
      <c r="P408" s="92"/>
      <c r="Q408" s="92"/>
      <c r="R408" s="92"/>
      <c r="S408" s="133">
        <v>41060</v>
      </c>
      <c r="T408" s="133">
        <v>41060</v>
      </c>
      <c r="U408" s="92" t="s">
        <v>1067</v>
      </c>
      <c r="V408" s="122">
        <v>700</v>
      </c>
      <c r="W408" s="122">
        <v>14050</v>
      </c>
      <c r="X408" s="113">
        <v>432.98</v>
      </c>
      <c r="Y408" s="122">
        <v>14056</v>
      </c>
      <c r="Z408" s="113">
        <v>432.98</v>
      </c>
      <c r="AA408" s="113">
        <v>0</v>
      </c>
      <c r="AB408" s="113">
        <v>0</v>
      </c>
      <c r="AC408" s="122">
        <v>54260</v>
      </c>
      <c r="AD408" s="113">
        <v>0</v>
      </c>
      <c r="AE408" s="122" t="s">
        <v>433</v>
      </c>
      <c r="AF408" s="92"/>
      <c r="AG408" s="92"/>
      <c r="AH408" s="92" t="s">
        <v>2</v>
      </c>
      <c r="AI408" s="92" t="s">
        <v>1785</v>
      </c>
      <c r="AJ408" s="92" t="s">
        <v>1787</v>
      </c>
      <c r="AK408" s="92" t="s">
        <v>1779</v>
      </c>
      <c r="AL408" s="92">
        <v>0</v>
      </c>
      <c r="AM408" s="92">
        <v>0</v>
      </c>
    </row>
    <row r="409" spans="2:39">
      <c r="B409" s="122">
        <v>2149</v>
      </c>
      <c r="C409" s="132">
        <v>94098</v>
      </c>
      <c r="D409" s="122" t="s">
        <v>433</v>
      </c>
      <c r="E409" s="92" t="s">
        <v>1626</v>
      </c>
      <c r="F409" t="s">
        <v>1066</v>
      </c>
      <c r="I409" s="122">
        <v>300</v>
      </c>
      <c r="J409" s="92"/>
      <c r="K409" s="122">
        <v>0</v>
      </c>
      <c r="L409" s="92" t="s">
        <v>1032</v>
      </c>
      <c r="M409" s="92"/>
      <c r="N409" s="92" t="s">
        <v>646</v>
      </c>
      <c r="O409" s="92" t="s">
        <v>1789</v>
      </c>
      <c r="P409" s="92"/>
      <c r="Q409" s="92"/>
      <c r="R409" s="92"/>
      <c r="S409" s="133">
        <v>41060</v>
      </c>
      <c r="T409" s="133">
        <v>41060</v>
      </c>
      <c r="U409" s="92" t="s">
        <v>1065</v>
      </c>
      <c r="V409" s="122">
        <v>700</v>
      </c>
      <c r="W409" s="122">
        <v>14050</v>
      </c>
      <c r="X409" s="113">
        <v>11143.49</v>
      </c>
      <c r="Y409" s="122">
        <v>14056</v>
      </c>
      <c r="Z409" s="113">
        <v>11143.49</v>
      </c>
      <c r="AA409" s="113">
        <v>0</v>
      </c>
      <c r="AB409" s="113">
        <v>0</v>
      </c>
      <c r="AC409" s="122">
        <v>54260</v>
      </c>
      <c r="AD409" s="113">
        <v>0</v>
      </c>
      <c r="AE409" s="122" t="s">
        <v>433</v>
      </c>
      <c r="AF409" s="92"/>
      <c r="AG409" s="92"/>
      <c r="AH409" s="92" t="s">
        <v>2</v>
      </c>
      <c r="AI409" s="92" t="s">
        <v>1785</v>
      </c>
      <c r="AJ409" s="92" t="s">
        <v>1787</v>
      </c>
      <c r="AK409" s="92" t="s">
        <v>1779</v>
      </c>
      <c r="AL409" s="92">
        <v>0</v>
      </c>
      <c r="AM409" s="92">
        <v>0</v>
      </c>
    </row>
    <row r="410" spans="2:39">
      <c r="B410" s="122">
        <v>2149</v>
      </c>
      <c r="C410" s="132">
        <v>93958</v>
      </c>
      <c r="D410" s="122" t="s">
        <v>433</v>
      </c>
      <c r="E410" s="92" t="s">
        <v>1626</v>
      </c>
      <c r="F410" t="s">
        <v>1064</v>
      </c>
      <c r="I410" s="122">
        <v>1</v>
      </c>
      <c r="J410" s="92"/>
      <c r="K410" s="122">
        <v>0</v>
      </c>
      <c r="L410" s="92" t="s">
        <v>978</v>
      </c>
      <c r="M410" s="92"/>
      <c r="N410" s="92" t="s">
        <v>1798</v>
      </c>
      <c r="O410" s="92" t="s">
        <v>1789</v>
      </c>
      <c r="P410" s="92"/>
      <c r="Q410" s="92"/>
      <c r="R410" s="92"/>
      <c r="S410" s="133">
        <v>41049</v>
      </c>
      <c r="T410" s="133">
        <v>41049</v>
      </c>
      <c r="U410" s="92" t="s">
        <v>1063</v>
      </c>
      <c r="V410" s="122">
        <v>300</v>
      </c>
      <c r="W410" s="122">
        <v>14110</v>
      </c>
      <c r="X410" s="113">
        <v>949.78</v>
      </c>
      <c r="Y410" s="122">
        <v>14116</v>
      </c>
      <c r="Z410" s="113">
        <v>949.78</v>
      </c>
      <c r="AA410" s="113">
        <v>0</v>
      </c>
      <c r="AB410" s="113">
        <v>0</v>
      </c>
      <c r="AC410" s="122">
        <v>70260</v>
      </c>
      <c r="AD410" s="113">
        <v>0</v>
      </c>
      <c r="AE410" s="122" t="s">
        <v>433</v>
      </c>
      <c r="AF410" s="92"/>
      <c r="AG410" s="92"/>
      <c r="AH410" s="92" t="s">
        <v>2</v>
      </c>
      <c r="AI410" s="92" t="s">
        <v>1785</v>
      </c>
      <c r="AJ410" s="92" t="s">
        <v>1787</v>
      </c>
      <c r="AK410" s="92" t="s">
        <v>1779</v>
      </c>
      <c r="AL410" s="92">
        <v>0</v>
      </c>
      <c r="AM410" s="92">
        <v>0</v>
      </c>
    </row>
    <row r="411" spans="2:39">
      <c r="B411" s="122">
        <v>2149</v>
      </c>
      <c r="C411" s="132">
        <v>93745</v>
      </c>
      <c r="D411" s="122" t="s">
        <v>433</v>
      </c>
      <c r="E411" s="92" t="s">
        <v>1626</v>
      </c>
      <c r="F411" t="s">
        <v>1062</v>
      </c>
      <c r="I411" s="122">
        <v>100</v>
      </c>
      <c r="J411" s="92"/>
      <c r="K411" s="122">
        <v>0</v>
      </c>
      <c r="L411" s="92" t="s">
        <v>844</v>
      </c>
      <c r="M411" s="92"/>
      <c r="N411" s="92" t="s">
        <v>646</v>
      </c>
      <c r="O411" s="92" t="s">
        <v>1789</v>
      </c>
      <c r="P411" s="92"/>
      <c r="Q411" s="92"/>
      <c r="R411" s="92"/>
      <c r="S411" s="133">
        <v>41030</v>
      </c>
      <c r="T411" s="133">
        <v>41030</v>
      </c>
      <c r="U411" s="92" t="s">
        <v>1061</v>
      </c>
      <c r="V411" s="122">
        <v>700</v>
      </c>
      <c r="W411" s="122">
        <v>14050</v>
      </c>
      <c r="X411" s="113">
        <v>5555.5</v>
      </c>
      <c r="Y411" s="122">
        <v>14056</v>
      </c>
      <c r="Z411" s="113">
        <v>5555.5</v>
      </c>
      <c r="AA411" s="113">
        <v>0</v>
      </c>
      <c r="AB411" s="113">
        <v>0</v>
      </c>
      <c r="AC411" s="122">
        <v>54260</v>
      </c>
      <c r="AD411" s="113">
        <v>0</v>
      </c>
      <c r="AE411" s="122" t="s">
        <v>433</v>
      </c>
      <c r="AF411" s="92"/>
      <c r="AG411" s="92"/>
      <c r="AH411" s="92" t="s">
        <v>2</v>
      </c>
      <c r="AI411" s="92" t="s">
        <v>1785</v>
      </c>
      <c r="AJ411" s="92" t="s">
        <v>1787</v>
      </c>
      <c r="AK411" s="92" t="s">
        <v>1779</v>
      </c>
      <c r="AL411" s="92">
        <v>0</v>
      </c>
      <c r="AM411" s="92">
        <v>0</v>
      </c>
    </row>
    <row r="412" spans="2:39">
      <c r="B412" s="122">
        <v>2149</v>
      </c>
      <c r="C412" s="132">
        <v>93744</v>
      </c>
      <c r="D412" s="122" t="s">
        <v>433</v>
      </c>
      <c r="E412" s="92" t="s">
        <v>1626</v>
      </c>
      <c r="F412" t="s">
        <v>1060</v>
      </c>
      <c r="I412" s="122">
        <v>23</v>
      </c>
      <c r="J412" s="92"/>
      <c r="K412" s="122">
        <v>0</v>
      </c>
      <c r="L412" s="92" t="s">
        <v>791</v>
      </c>
      <c r="M412" s="92"/>
      <c r="N412" s="92" t="s">
        <v>646</v>
      </c>
      <c r="O412" s="92" t="s">
        <v>1789</v>
      </c>
      <c r="P412" s="92"/>
      <c r="Q412" s="92" t="s">
        <v>1790</v>
      </c>
      <c r="R412" s="92" t="s">
        <v>1791</v>
      </c>
      <c r="S412" s="133">
        <v>41029</v>
      </c>
      <c r="T412" s="133">
        <v>41029</v>
      </c>
      <c r="U412" s="92" t="s">
        <v>1059</v>
      </c>
      <c r="V412" s="122">
        <v>1200</v>
      </c>
      <c r="W412" s="122">
        <v>14050</v>
      </c>
      <c r="X412" s="113">
        <v>10925</v>
      </c>
      <c r="Y412" s="122">
        <v>14056</v>
      </c>
      <c r="Z412" s="113">
        <v>10925</v>
      </c>
      <c r="AA412" s="113">
        <v>0</v>
      </c>
      <c r="AB412" s="113">
        <v>303.43</v>
      </c>
      <c r="AC412" s="122">
        <v>54260</v>
      </c>
      <c r="AD412" s="113">
        <v>75.819999999999993</v>
      </c>
      <c r="AE412" s="122" t="s">
        <v>433</v>
      </c>
      <c r="AF412" s="92"/>
      <c r="AG412" s="92"/>
      <c r="AH412" s="92" t="s">
        <v>2</v>
      </c>
      <c r="AI412" s="92" t="s">
        <v>1785</v>
      </c>
      <c r="AJ412" s="92" t="s">
        <v>1787</v>
      </c>
      <c r="AK412" s="92" t="s">
        <v>1779</v>
      </c>
      <c r="AL412" s="92">
        <v>0</v>
      </c>
      <c r="AM412" s="92">
        <v>0</v>
      </c>
    </row>
    <row r="413" spans="2:39">
      <c r="B413" s="122">
        <v>2149</v>
      </c>
      <c r="C413" s="132">
        <v>91092</v>
      </c>
      <c r="D413" s="122" t="s">
        <v>433</v>
      </c>
      <c r="E413" s="92" t="s">
        <v>1626</v>
      </c>
      <c r="F413" t="s">
        <v>1058</v>
      </c>
      <c r="I413" s="122">
        <v>1</v>
      </c>
      <c r="J413" s="92"/>
      <c r="K413" s="122">
        <v>0</v>
      </c>
      <c r="L413" s="92" t="s">
        <v>1057</v>
      </c>
      <c r="M413" s="92"/>
      <c r="N413" s="92" t="s">
        <v>1801</v>
      </c>
      <c r="O413" s="92" t="s">
        <v>1789</v>
      </c>
      <c r="P413" s="92"/>
      <c r="Q413" s="92"/>
      <c r="R413" s="92"/>
      <c r="S413" s="133">
        <v>40909</v>
      </c>
      <c r="T413" s="133">
        <v>40909</v>
      </c>
      <c r="U413" s="92" t="s">
        <v>1056</v>
      </c>
      <c r="V413" s="122">
        <v>500</v>
      </c>
      <c r="W413" s="122">
        <v>14070</v>
      </c>
      <c r="X413" s="113">
        <v>6806.52</v>
      </c>
      <c r="Y413" s="122">
        <v>14076</v>
      </c>
      <c r="Z413" s="113">
        <v>6806.52</v>
      </c>
      <c r="AA413" s="113">
        <v>0</v>
      </c>
      <c r="AB413" s="113">
        <v>0</v>
      </c>
      <c r="AC413" s="122">
        <v>51260</v>
      </c>
      <c r="AD413" s="113">
        <v>0</v>
      </c>
      <c r="AE413" s="122" t="s">
        <v>433</v>
      </c>
      <c r="AF413" s="92"/>
      <c r="AG413" s="92"/>
      <c r="AH413" s="92" t="s">
        <v>2</v>
      </c>
      <c r="AI413" s="92" t="s">
        <v>1785</v>
      </c>
      <c r="AJ413" s="92" t="s">
        <v>1787</v>
      </c>
      <c r="AK413" s="92" t="s">
        <v>1779</v>
      </c>
      <c r="AL413" s="92">
        <v>0</v>
      </c>
      <c r="AM413" s="92">
        <v>0</v>
      </c>
    </row>
    <row r="414" spans="2:39">
      <c r="B414" s="122">
        <v>2149</v>
      </c>
      <c r="C414" s="132">
        <v>91082</v>
      </c>
      <c r="D414" s="122" t="s">
        <v>433</v>
      </c>
      <c r="E414" s="92" t="s">
        <v>1626</v>
      </c>
      <c r="F414" t="s">
        <v>1055</v>
      </c>
      <c r="I414" s="122">
        <v>1</v>
      </c>
      <c r="J414" s="92"/>
      <c r="K414" s="122">
        <v>0</v>
      </c>
      <c r="L414" s="92" t="s">
        <v>1054</v>
      </c>
      <c r="M414" s="92"/>
      <c r="N414" s="92" t="s">
        <v>646</v>
      </c>
      <c r="O414" s="92" t="s">
        <v>1789</v>
      </c>
      <c r="P414" s="92"/>
      <c r="Q414" s="92"/>
      <c r="R414" s="92"/>
      <c r="S414" s="133">
        <v>40968</v>
      </c>
      <c r="T414" s="133">
        <v>40968</v>
      </c>
      <c r="U414" s="92" t="s">
        <v>1053</v>
      </c>
      <c r="V414" s="122">
        <v>500</v>
      </c>
      <c r="W414" s="122">
        <v>14050</v>
      </c>
      <c r="X414" s="113">
        <v>3772.11</v>
      </c>
      <c r="Y414" s="122">
        <v>14056</v>
      </c>
      <c r="Z414" s="113">
        <v>3772.11</v>
      </c>
      <c r="AA414" s="113">
        <v>0</v>
      </c>
      <c r="AB414" s="113">
        <v>0</v>
      </c>
      <c r="AC414" s="122">
        <v>54260</v>
      </c>
      <c r="AD414" s="113">
        <v>0</v>
      </c>
      <c r="AE414" s="122" t="s">
        <v>433</v>
      </c>
      <c r="AF414" s="92"/>
      <c r="AG414" s="92"/>
      <c r="AH414" s="92" t="s">
        <v>2</v>
      </c>
      <c r="AI414" s="92" t="s">
        <v>1785</v>
      </c>
      <c r="AJ414" s="92" t="s">
        <v>1787</v>
      </c>
      <c r="AK414" s="92" t="s">
        <v>1779</v>
      </c>
      <c r="AL414" s="92">
        <v>0</v>
      </c>
      <c r="AM414" s="92">
        <v>0</v>
      </c>
    </row>
    <row r="415" spans="2:39">
      <c r="B415" s="122">
        <v>2149</v>
      </c>
      <c r="C415" s="132">
        <v>90451</v>
      </c>
      <c r="D415" s="122" t="s">
        <v>433</v>
      </c>
      <c r="E415" s="92" t="s">
        <v>1626</v>
      </c>
      <c r="F415" t="s">
        <v>1052</v>
      </c>
      <c r="I415" s="122">
        <v>1</v>
      </c>
      <c r="J415" s="92"/>
      <c r="K415" s="122">
        <v>0</v>
      </c>
      <c r="L415" s="92" t="s">
        <v>1051</v>
      </c>
      <c r="M415" s="92"/>
      <c r="N415" s="92" t="s">
        <v>1798</v>
      </c>
      <c r="O415" s="92" t="s">
        <v>1789</v>
      </c>
      <c r="P415" s="92"/>
      <c r="Q415" s="92"/>
      <c r="R415" s="92"/>
      <c r="S415" s="133">
        <v>40933</v>
      </c>
      <c r="T415" s="133">
        <v>40933</v>
      </c>
      <c r="U415" s="92" t="s">
        <v>1050</v>
      </c>
      <c r="V415" s="122">
        <v>500</v>
      </c>
      <c r="W415" s="122">
        <v>14110</v>
      </c>
      <c r="X415" s="113">
        <v>559.78</v>
      </c>
      <c r="Y415" s="122">
        <v>14116</v>
      </c>
      <c r="Z415" s="113">
        <v>559.78</v>
      </c>
      <c r="AA415" s="113">
        <v>0</v>
      </c>
      <c r="AB415" s="113">
        <v>0</v>
      </c>
      <c r="AC415" s="122">
        <v>70260</v>
      </c>
      <c r="AD415" s="113">
        <v>0</v>
      </c>
      <c r="AE415" s="122" t="s">
        <v>433</v>
      </c>
      <c r="AF415" s="92"/>
      <c r="AG415" s="92"/>
      <c r="AH415" s="92" t="s">
        <v>2</v>
      </c>
      <c r="AI415" s="92" t="s">
        <v>1785</v>
      </c>
      <c r="AJ415" s="92" t="s">
        <v>1787</v>
      </c>
      <c r="AK415" s="92" t="s">
        <v>1779</v>
      </c>
      <c r="AL415" s="92">
        <v>0</v>
      </c>
      <c r="AM415" s="92">
        <v>0</v>
      </c>
    </row>
    <row r="416" spans="2:39">
      <c r="B416" s="122">
        <v>2149</v>
      </c>
      <c r="C416" s="132">
        <v>88395</v>
      </c>
      <c r="D416" s="122">
        <v>80465</v>
      </c>
      <c r="E416" s="92" t="s">
        <v>1626</v>
      </c>
      <c r="F416" t="s">
        <v>1049</v>
      </c>
      <c r="I416" s="122">
        <v>1</v>
      </c>
      <c r="J416" s="92"/>
      <c r="K416" s="122">
        <v>0</v>
      </c>
      <c r="L416" s="92" t="s">
        <v>1038</v>
      </c>
      <c r="M416" s="92"/>
      <c r="N416" s="92" t="s">
        <v>1800</v>
      </c>
      <c r="O416" s="92" t="s">
        <v>1800</v>
      </c>
      <c r="P416" s="92"/>
      <c r="Q416" s="92"/>
      <c r="R416" s="92"/>
      <c r="S416" s="133">
        <v>40664</v>
      </c>
      <c r="T416" s="133">
        <v>40664</v>
      </c>
      <c r="U416" s="92" t="s">
        <v>1028</v>
      </c>
      <c r="V416" s="122">
        <v>803</v>
      </c>
      <c r="W416" s="122">
        <v>14090</v>
      </c>
      <c r="X416" s="113">
        <v>58.38</v>
      </c>
      <c r="Y416" s="122">
        <v>14096</v>
      </c>
      <c r="Z416" s="113">
        <v>58.38</v>
      </c>
      <c r="AA416" s="113">
        <v>0</v>
      </c>
      <c r="AB416" s="113">
        <v>0</v>
      </c>
      <c r="AC416" s="122">
        <v>57260</v>
      </c>
      <c r="AD416" s="113">
        <v>0</v>
      </c>
      <c r="AE416" s="122" t="s">
        <v>433</v>
      </c>
      <c r="AF416" s="92"/>
      <c r="AG416" s="92"/>
      <c r="AH416" s="92" t="s">
        <v>2</v>
      </c>
      <c r="AI416" s="92" t="s">
        <v>1785</v>
      </c>
      <c r="AJ416" s="92" t="s">
        <v>1787</v>
      </c>
      <c r="AK416" s="92" t="s">
        <v>1779</v>
      </c>
      <c r="AL416" s="92">
        <v>0</v>
      </c>
      <c r="AM416" s="92">
        <v>0</v>
      </c>
    </row>
    <row r="417" spans="2:39">
      <c r="B417" s="122">
        <v>2149</v>
      </c>
      <c r="C417" s="132">
        <v>88168</v>
      </c>
      <c r="D417" s="122" t="s">
        <v>433</v>
      </c>
      <c r="E417" s="92" t="s">
        <v>1626</v>
      </c>
      <c r="F417" t="s">
        <v>1048</v>
      </c>
      <c r="I417" s="122">
        <v>501</v>
      </c>
      <c r="J417" s="92" t="s">
        <v>1047</v>
      </c>
      <c r="K417" s="122">
        <v>1999</v>
      </c>
      <c r="L417" s="92" t="s">
        <v>1046</v>
      </c>
      <c r="M417" s="92" t="s">
        <v>1046</v>
      </c>
      <c r="N417" s="92" t="s">
        <v>1788</v>
      </c>
      <c r="O417" s="92" t="s">
        <v>1789</v>
      </c>
      <c r="P417" s="92" t="s">
        <v>1813</v>
      </c>
      <c r="Q417" s="92"/>
      <c r="R417" s="92"/>
      <c r="S417" s="133">
        <v>36220</v>
      </c>
      <c r="T417" s="133">
        <v>36220</v>
      </c>
      <c r="U417" s="92"/>
      <c r="V417" s="122">
        <v>500</v>
      </c>
      <c r="W417" s="122">
        <v>14040</v>
      </c>
      <c r="X417" s="113">
        <v>25000</v>
      </c>
      <c r="Y417" s="122">
        <v>14046</v>
      </c>
      <c r="Z417" s="113">
        <v>25000</v>
      </c>
      <c r="AA417" s="113">
        <v>0</v>
      </c>
      <c r="AB417" s="113">
        <v>0</v>
      </c>
      <c r="AC417" s="122">
        <v>51260</v>
      </c>
      <c r="AD417" s="113">
        <v>0</v>
      </c>
      <c r="AE417" s="122" t="s">
        <v>663</v>
      </c>
      <c r="AF417" s="92" t="s">
        <v>751</v>
      </c>
      <c r="AG417" s="92" t="s">
        <v>223</v>
      </c>
      <c r="AH417" s="92" t="s">
        <v>2</v>
      </c>
      <c r="AI417" s="92" t="s">
        <v>1785</v>
      </c>
      <c r="AJ417" s="92" t="s">
        <v>1787</v>
      </c>
      <c r="AK417" s="92" t="s">
        <v>1779</v>
      </c>
      <c r="AL417" s="92">
        <v>0</v>
      </c>
      <c r="AM417" s="92">
        <v>0</v>
      </c>
    </row>
    <row r="418" spans="2:39">
      <c r="B418" s="122">
        <v>2149</v>
      </c>
      <c r="C418" s="132">
        <v>88166</v>
      </c>
      <c r="D418" s="122">
        <v>20910</v>
      </c>
      <c r="E418" s="92" t="s">
        <v>1626</v>
      </c>
      <c r="F418" t="s">
        <v>1045</v>
      </c>
      <c r="I418" s="122">
        <v>1</v>
      </c>
      <c r="J418" s="92"/>
      <c r="K418" s="122">
        <v>0</v>
      </c>
      <c r="L418" s="92" t="s">
        <v>1044</v>
      </c>
      <c r="M418" s="92"/>
      <c r="N418" s="92" t="s">
        <v>1800</v>
      </c>
      <c r="O418" s="92" t="s">
        <v>1800</v>
      </c>
      <c r="P418" s="92"/>
      <c r="Q418" s="92"/>
      <c r="R418" s="92"/>
      <c r="S418" s="133">
        <v>40816</v>
      </c>
      <c r="T418" s="133">
        <v>40816</v>
      </c>
      <c r="U418" s="92" t="s">
        <v>1043</v>
      </c>
      <c r="V418" s="122">
        <v>709</v>
      </c>
      <c r="W418" s="122">
        <v>14090</v>
      </c>
      <c r="X418" s="113">
        <v>2840.07</v>
      </c>
      <c r="Y418" s="122">
        <v>14096</v>
      </c>
      <c r="Z418" s="113">
        <v>2840.07</v>
      </c>
      <c r="AA418" s="113">
        <v>0</v>
      </c>
      <c r="AB418" s="113">
        <v>0</v>
      </c>
      <c r="AC418" s="122">
        <v>57260</v>
      </c>
      <c r="AD418" s="113">
        <v>0</v>
      </c>
      <c r="AE418" s="122" t="s">
        <v>433</v>
      </c>
      <c r="AF418" s="92"/>
      <c r="AG418" s="92"/>
      <c r="AH418" s="92" t="s">
        <v>2</v>
      </c>
      <c r="AI418" s="92" t="s">
        <v>1785</v>
      </c>
      <c r="AJ418" s="92" t="s">
        <v>1787</v>
      </c>
      <c r="AK418" s="92" t="s">
        <v>1779</v>
      </c>
      <c r="AL418" s="92">
        <v>0</v>
      </c>
      <c r="AM418" s="92">
        <v>0</v>
      </c>
    </row>
    <row r="419" spans="2:39">
      <c r="B419" s="122">
        <v>2149</v>
      </c>
      <c r="C419" s="132">
        <v>87950</v>
      </c>
      <c r="D419" s="122" t="s">
        <v>433</v>
      </c>
      <c r="E419" s="92" t="s">
        <v>1626</v>
      </c>
      <c r="F419" t="s">
        <v>1042</v>
      </c>
      <c r="I419" s="122">
        <v>1</v>
      </c>
      <c r="J419" s="92"/>
      <c r="K419" s="122">
        <v>0</v>
      </c>
      <c r="L419" s="92" t="s">
        <v>978</v>
      </c>
      <c r="M419" s="92"/>
      <c r="N419" s="92" t="s">
        <v>1798</v>
      </c>
      <c r="O419" s="92" t="s">
        <v>1789</v>
      </c>
      <c r="P419" s="92"/>
      <c r="Q419" s="92"/>
      <c r="R419" s="92"/>
      <c r="S419" s="133">
        <v>40872</v>
      </c>
      <c r="T419" s="133">
        <v>40872</v>
      </c>
      <c r="U419" s="92" t="s">
        <v>1041</v>
      </c>
      <c r="V419" s="122">
        <v>300</v>
      </c>
      <c r="W419" s="122">
        <v>14110</v>
      </c>
      <c r="X419" s="113">
        <v>1537.57</v>
      </c>
      <c r="Y419" s="122">
        <v>14116</v>
      </c>
      <c r="Z419" s="113">
        <v>1537.57</v>
      </c>
      <c r="AA419" s="113">
        <v>0</v>
      </c>
      <c r="AB419" s="113">
        <v>0</v>
      </c>
      <c r="AC419" s="122">
        <v>70260</v>
      </c>
      <c r="AD419" s="113">
        <v>0</v>
      </c>
      <c r="AE419" s="122" t="s">
        <v>433</v>
      </c>
      <c r="AF419" s="92"/>
      <c r="AG419" s="92"/>
      <c r="AH419" s="92" t="s">
        <v>2</v>
      </c>
      <c r="AI419" s="92" t="s">
        <v>1785</v>
      </c>
      <c r="AJ419" s="92" t="s">
        <v>1787</v>
      </c>
      <c r="AK419" s="92" t="s">
        <v>1779</v>
      </c>
      <c r="AL419" s="92">
        <v>0</v>
      </c>
      <c r="AM419" s="92">
        <v>0</v>
      </c>
    </row>
    <row r="420" spans="2:39">
      <c r="B420" s="122">
        <v>2149</v>
      </c>
      <c r="C420" s="132">
        <v>87674</v>
      </c>
      <c r="D420" s="122">
        <v>80465</v>
      </c>
      <c r="E420" s="92" t="s">
        <v>1626</v>
      </c>
      <c r="F420" t="s">
        <v>1040</v>
      </c>
      <c r="I420" s="122">
        <v>1</v>
      </c>
      <c r="J420" s="92"/>
      <c r="K420" s="122">
        <v>0</v>
      </c>
      <c r="L420" s="92" t="s">
        <v>1036</v>
      </c>
      <c r="M420" s="92"/>
      <c r="N420" s="92" t="s">
        <v>1800</v>
      </c>
      <c r="O420" s="92" t="s">
        <v>1800</v>
      </c>
      <c r="P420" s="92"/>
      <c r="Q420" s="92"/>
      <c r="R420" s="92"/>
      <c r="S420" s="133">
        <v>40633</v>
      </c>
      <c r="T420" s="133">
        <v>40633</v>
      </c>
      <c r="U420" s="92" t="s">
        <v>1028</v>
      </c>
      <c r="V420" s="122">
        <v>803</v>
      </c>
      <c r="W420" s="122">
        <v>14090</v>
      </c>
      <c r="X420" s="113">
        <v>1738.83</v>
      </c>
      <c r="Y420" s="122">
        <v>14096</v>
      </c>
      <c r="Z420" s="113">
        <v>1738.83</v>
      </c>
      <c r="AA420" s="113">
        <v>0</v>
      </c>
      <c r="AB420" s="113">
        <v>0</v>
      </c>
      <c r="AC420" s="122">
        <v>57260</v>
      </c>
      <c r="AD420" s="113">
        <v>0</v>
      </c>
      <c r="AE420" s="122" t="s">
        <v>433</v>
      </c>
      <c r="AF420" s="92"/>
      <c r="AG420" s="92"/>
      <c r="AH420" s="92" t="s">
        <v>2</v>
      </c>
      <c r="AI420" s="92" t="s">
        <v>1785</v>
      </c>
      <c r="AJ420" s="92" t="s">
        <v>1787</v>
      </c>
      <c r="AK420" s="92" t="s">
        <v>1779</v>
      </c>
      <c r="AL420" s="92">
        <v>0</v>
      </c>
      <c r="AM420" s="92">
        <v>0</v>
      </c>
    </row>
    <row r="421" spans="2:39">
      <c r="B421" s="122">
        <v>2149</v>
      </c>
      <c r="C421" s="132">
        <v>87673</v>
      </c>
      <c r="D421" s="122">
        <v>80465</v>
      </c>
      <c r="E421" s="92" t="s">
        <v>1626</v>
      </c>
      <c r="F421" t="s">
        <v>1039</v>
      </c>
      <c r="I421" s="122">
        <v>1</v>
      </c>
      <c r="J421" s="92"/>
      <c r="K421" s="122">
        <v>0</v>
      </c>
      <c r="L421" s="92" t="s">
        <v>1038</v>
      </c>
      <c r="M421" s="92"/>
      <c r="N421" s="92" t="s">
        <v>1800</v>
      </c>
      <c r="O421" s="92" t="s">
        <v>1800</v>
      </c>
      <c r="P421" s="92"/>
      <c r="Q421" s="92"/>
      <c r="R421" s="92"/>
      <c r="S421" s="133">
        <v>40633</v>
      </c>
      <c r="T421" s="133">
        <v>40633</v>
      </c>
      <c r="U421" s="92" t="s">
        <v>1028</v>
      </c>
      <c r="V421" s="122">
        <v>803</v>
      </c>
      <c r="W421" s="122">
        <v>14090</v>
      </c>
      <c r="X421" s="113">
        <v>613.03</v>
      </c>
      <c r="Y421" s="122">
        <v>14096</v>
      </c>
      <c r="Z421" s="113">
        <v>613.03</v>
      </c>
      <c r="AA421" s="113">
        <v>0</v>
      </c>
      <c r="AB421" s="113">
        <v>0</v>
      </c>
      <c r="AC421" s="122">
        <v>57260</v>
      </c>
      <c r="AD421" s="113">
        <v>0</v>
      </c>
      <c r="AE421" s="122" t="s">
        <v>433</v>
      </c>
      <c r="AF421" s="92"/>
      <c r="AG421" s="92"/>
      <c r="AH421" s="92" t="s">
        <v>2</v>
      </c>
      <c r="AI421" s="92" t="s">
        <v>1785</v>
      </c>
      <c r="AJ421" s="92" t="s">
        <v>1787</v>
      </c>
      <c r="AK421" s="92" t="s">
        <v>1779</v>
      </c>
      <c r="AL421" s="92">
        <v>0</v>
      </c>
      <c r="AM421" s="92">
        <v>0</v>
      </c>
    </row>
    <row r="422" spans="2:39">
      <c r="B422" s="122">
        <v>2149</v>
      </c>
      <c r="C422" s="132">
        <v>87672</v>
      </c>
      <c r="D422" s="122">
        <v>80465</v>
      </c>
      <c r="E422" s="92" t="s">
        <v>1626</v>
      </c>
      <c r="F422" t="s">
        <v>1039</v>
      </c>
      <c r="I422" s="122">
        <v>1</v>
      </c>
      <c r="J422" s="92"/>
      <c r="K422" s="122">
        <v>0</v>
      </c>
      <c r="L422" s="92" t="s">
        <v>1038</v>
      </c>
      <c r="M422" s="92"/>
      <c r="N422" s="92" t="s">
        <v>1800</v>
      </c>
      <c r="O422" s="92" t="s">
        <v>1800</v>
      </c>
      <c r="P422" s="92"/>
      <c r="Q422" s="92"/>
      <c r="R422" s="92"/>
      <c r="S422" s="133">
        <v>40633</v>
      </c>
      <c r="T422" s="133">
        <v>40633</v>
      </c>
      <c r="U422" s="92" t="s">
        <v>1028</v>
      </c>
      <c r="V422" s="122">
        <v>803</v>
      </c>
      <c r="W422" s="122">
        <v>14090</v>
      </c>
      <c r="X422" s="113">
        <v>2665</v>
      </c>
      <c r="Y422" s="122">
        <v>14096</v>
      </c>
      <c r="Z422" s="113">
        <v>2665</v>
      </c>
      <c r="AA422" s="113">
        <v>0</v>
      </c>
      <c r="AB422" s="113">
        <v>0</v>
      </c>
      <c r="AC422" s="122">
        <v>57260</v>
      </c>
      <c r="AD422" s="113">
        <v>0</v>
      </c>
      <c r="AE422" s="122" t="s">
        <v>433</v>
      </c>
      <c r="AF422" s="92"/>
      <c r="AG422" s="92"/>
      <c r="AH422" s="92" t="s">
        <v>2</v>
      </c>
      <c r="AI422" s="92" t="s">
        <v>1785</v>
      </c>
      <c r="AJ422" s="92" t="s">
        <v>1787</v>
      </c>
      <c r="AK422" s="92" t="s">
        <v>1779</v>
      </c>
      <c r="AL422" s="92">
        <v>0</v>
      </c>
      <c r="AM422" s="92">
        <v>0</v>
      </c>
    </row>
    <row r="423" spans="2:39">
      <c r="B423" s="122">
        <v>2149</v>
      </c>
      <c r="C423" s="132">
        <v>87671</v>
      </c>
      <c r="D423" s="122">
        <v>80465</v>
      </c>
      <c r="E423" s="92" t="s">
        <v>1626</v>
      </c>
      <c r="F423" t="s">
        <v>1037</v>
      </c>
      <c r="I423" s="122">
        <v>1</v>
      </c>
      <c r="J423" s="92"/>
      <c r="K423" s="122">
        <v>0</v>
      </c>
      <c r="L423" s="92" t="s">
        <v>1036</v>
      </c>
      <c r="M423" s="92"/>
      <c r="N423" s="92" t="s">
        <v>1800</v>
      </c>
      <c r="O423" s="92" t="s">
        <v>1800</v>
      </c>
      <c r="P423" s="92"/>
      <c r="Q423" s="92"/>
      <c r="R423" s="92"/>
      <c r="S423" s="133">
        <v>40633</v>
      </c>
      <c r="T423" s="133">
        <v>40633</v>
      </c>
      <c r="U423" s="92" t="s">
        <v>1028</v>
      </c>
      <c r="V423" s="122">
        <v>803</v>
      </c>
      <c r="W423" s="122">
        <v>14090</v>
      </c>
      <c r="X423" s="113">
        <v>730.63</v>
      </c>
      <c r="Y423" s="122">
        <v>14096</v>
      </c>
      <c r="Z423" s="113">
        <v>730.63</v>
      </c>
      <c r="AA423" s="113">
        <v>0</v>
      </c>
      <c r="AB423" s="113">
        <v>0</v>
      </c>
      <c r="AC423" s="122">
        <v>57260</v>
      </c>
      <c r="AD423" s="113">
        <v>0</v>
      </c>
      <c r="AE423" s="122" t="s">
        <v>433</v>
      </c>
      <c r="AF423" s="92"/>
      <c r="AG423" s="92"/>
      <c r="AH423" s="92" t="s">
        <v>2</v>
      </c>
      <c r="AI423" s="92" t="s">
        <v>1785</v>
      </c>
      <c r="AJ423" s="92" t="s">
        <v>1787</v>
      </c>
      <c r="AK423" s="92" t="s">
        <v>1779</v>
      </c>
      <c r="AL423" s="92">
        <v>0</v>
      </c>
      <c r="AM423" s="92">
        <v>0</v>
      </c>
    </row>
    <row r="424" spans="2:39">
      <c r="B424" s="122">
        <v>2149</v>
      </c>
      <c r="C424" s="132">
        <v>86096</v>
      </c>
      <c r="D424" s="122" t="s">
        <v>433</v>
      </c>
      <c r="E424" s="92" t="s">
        <v>1626</v>
      </c>
      <c r="F424" t="s">
        <v>1027</v>
      </c>
      <c r="I424" s="122">
        <v>14</v>
      </c>
      <c r="J424" s="92"/>
      <c r="K424" s="122">
        <v>0</v>
      </c>
      <c r="L424" s="92"/>
      <c r="M424" s="92"/>
      <c r="N424" s="92" t="s">
        <v>646</v>
      </c>
      <c r="O424" s="92" t="s">
        <v>1789</v>
      </c>
      <c r="P424" s="92"/>
      <c r="Q424" s="92" t="s">
        <v>1790</v>
      </c>
      <c r="R424" s="92" t="s">
        <v>1815</v>
      </c>
      <c r="S424" s="133">
        <v>40544</v>
      </c>
      <c r="T424" s="133">
        <v>40544</v>
      </c>
      <c r="U424" s="92"/>
      <c r="V424" s="122">
        <v>300</v>
      </c>
      <c r="W424" s="122">
        <v>14050</v>
      </c>
      <c r="X424" s="113">
        <v>0.01</v>
      </c>
      <c r="Y424" s="122">
        <v>14056</v>
      </c>
      <c r="Z424" s="113">
        <v>0.01</v>
      </c>
      <c r="AA424" s="113">
        <v>0</v>
      </c>
      <c r="AB424" s="113">
        <v>0</v>
      </c>
      <c r="AC424" s="122">
        <v>54260</v>
      </c>
      <c r="AD424" s="113">
        <v>0</v>
      </c>
      <c r="AE424" s="122" t="s">
        <v>433</v>
      </c>
      <c r="AF424" s="92"/>
      <c r="AG424" s="92"/>
      <c r="AH424" s="92" t="s">
        <v>2</v>
      </c>
      <c r="AI424" s="92" t="s">
        <v>1785</v>
      </c>
      <c r="AJ424" s="92" t="s">
        <v>1787</v>
      </c>
      <c r="AK424" s="92" t="s">
        <v>1779</v>
      </c>
      <c r="AL424" s="92">
        <v>0</v>
      </c>
      <c r="AM424" s="92">
        <v>0</v>
      </c>
    </row>
    <row r="425" spans="2:39">
      <c r="B425" s="122">
        <v>2149</v>
      </c>
      <c r="C425" s="132">
        <v>85503</v>
      </c>
      <c r="D425" s="122" t="s">
        <v>433</v>
      </c>
      <c r="E425" s="92" t="s">
        <v>1626</v>
      </c>
      <c r="F425" t="s">
        <v>1035</v>
      </c>
      <c r="I425" s="122">
        <v>1</v>
      </c>
      <c r="J425" s="92"/>
      <c r="K425" s="122">
        <v>0</v>
      </c>
      <c r="L425" s="92"/>
      <c r="M425" s="92"/>
      <c r="N425" s="92" t="s">
        <v>1801</v>
      </c>
      <c r="O425" s="92" t="s">
        <v>1789</v>
      </c>
      <c r="P425" s="92"/>
      <c r="Q425" s="92"/>
      <c r="R425" s="92"/>
      <c r="S425" s="133">
        <v>40725</v>
      </c>
      <c r="T425" s="133">
        <v>40725</v>
      </c>
      <c r="U425" s="92" t="s">
        <v>1034</v>
      </c>
      <c r="V425" s="122">
        <v>500</v>
      </c>
      <c r="W425" s="122">
        <v>14070</v>
      </c>
      <c r="X425" s="113">
        <v>5203.2</v>
      </c>
      <c r="Y425" s="122">
        <v>14076</v>
      </c>
      <c r="Z425" s="113">
        <v>5203.2</v>
      </c>
      <c r="AA425" s="113">
        <v>0</v>
      </c>
      <c r="AB425" s="113">
        <v>0</v>
      </c>
      <c r="AC425" s="122">
        <v>51260</v>
      </c>
      <c r="AD425" s="113">
        <v>0</v>
      </c>
      <c r="AE425" s="122" t="s">
        <v>433</v>
      </c>
      <c r="AF425" s="92"/>
      <c r="AG425" s="92"/>
      <c r="AH425" s="92" t="s">
        <v>2</v>
      </c>
      <c r="AI425" s="92" t="s">
        <v>1785</v>
      </c>
      <c r="AJ425" s="92" t="s">
        <v>1787</v>
      </c>
      <c r="AK425" s="92" t="s">
        <v>1779</v>
      </c>
      <c r="AL425" s="92">
        <v>0</v>
      </c>
      <c r="AM425" s="92">
        <v>0</v>
      </c>
    </row>
    <row r="426" spans="2:39">
      <c r="B426" s="122">
        <v>2149</v>
      </c>
      <c r="C426" s="132">
        <v>85183</v>
      </c>
      <c r="D426" s="122" t="s">
        <v>433</v>
      </c>
      <c r="E426" s="92" t="s">
        <v>1626</v>
      </c>
      <c r="F426" t="s">
        <v>1033</v>
      </c>
      <c r="I426" s="122">
        <v>66</v>
      </c>
      <c r="J426" s="92"/>
      <c r="K426" s="122">
        <v>0</v>
      </c>
      <c r="L426" s="92" t="s">
        <v>1032</v>
      </c>
      <c r="M426" s="92"/>
      <c r="N426" s="92" t="s">
        <v>646</v>
      </c>
      <c r="O426" s="92" t="s">
        <v>1789</v>
      </c>
      <c r="P426" s="92"/>
      <c r="Q426" s="92" t="s">
        <v>1792</v>
      </c>
      <c r="R426" s="92" t="s">
        <v>1815</v>
      </c>
      <c r="S426" s="133">
        <v>40704</v>
      </c>
      <c r="T426" s="133">
        <v>40704</v>
      </c>
      <c r="U426" s="92" t="s">
        <v>1031</v>
      </c>
      <c r="V426" s="122">
        <v>700</v>
      </c>
      <c r="W426" s="122">
        <v>14050</v>
      </c>
      <c r="X426" s="113">
        <v>30588.26</v>
      </c>
      <c r="Y426" s="122">
        <v>14056</v>
      </c>
      <c r="Z426" s="113">
        <v>30588.26</v>
      </c>
      <c r="AA426" s="113">
        <v>0</v>
      </c>
      <c r="AB426" s="113">
        <v>0</v>
      </c>
      <c r="AC426" s="122">
        <v>54260</v>
      </c>
      <c r="AD426" s="113">
        <v>0</v>
      </c>
      <c r="AE426" s="122" t="s">
        <v>433</v>
      </c>
      <c r="AF426" s="92"/>
      <c r="AG426" s="92"/>
      <c r="AH426" s="92" t="s">
        <v>2</v>
      </c>
      <c r="AI426" s="92" t="s">
        <v>1785</v>
      </c>
      <c r="AJ426" s="92" t="s">
        <v>1787</v>
      </c>
      <c r="AK426" s="92" t="s">
        <v>1779</v>
      </c>
      <c r="AL426" s="92">
        <v>0</v>
      </c>
      <c r="AM426" s="92">
        <v>0</v>
      </c>
    </row>
    <row r="427" spans="2:39">
      <c r="B427" s="122">
        <v>2149</v>
      </c>
      <c r="C427" s="132">
        <v>85006</v>
      </c>
      <c r="D427" s="122">
        <v>80465</v>
      </c>
      <c r="E427" s="92" t="s">
        <v>1626</v>
      </c>
      <c r="F427" t="s">
        <v>1030</v>
      </c>
      <c r="I427" s="122">
        <v>1</v>
      </c>
      <c r="J427" s="92"/>
      <c r="K427" s="122">
        <v>0</v>
      </c>
      <c r="L427" s="92" t="s">
        <v>1029</v>
      </c>
      <c r="M427" s="92"/>
      <c r="N427" s="92" t="s">
        <v>1800</v>
      </c>
      <c r="O427" s="92" t="s">
        <v>1800</v>
      </c>
      <c r="P427" s="92"/>
      <c r="Q427" s="92"/>
      <c r="R427" s="92"/>
      <c r="S427" s="133">
        <v>40633</v>
      </c>
      <c r="T427" s="133">
        <v>40633</v>
      </c>
      <c r="U427" s="92" t="s">
        <v>1028</v>
      </c>
      <c r="V427" s="122">
        <v>803</v>
      </c>
      <c r="W427" s="122">
        <v>14090</v>
      </c>
      <c r="X427" s="113">
        <v>67750</v>
      </c>
      <c r="Y427" s="122">
        <v>14096</v>
      </c>
      <c r="Z427" s="113">
        <v>67750</v>
      </c>
      <c r="AA427" s="113">
        <v>0</v>
      </c>
      <c r="AB427" s="113">
        <v>0</v>
      </c>
      <c r="AC427" s="122">
        <v>57260</v>
      </c>
      <c r="AD427" s="113">
        <v>0</v>
      </c>
      <c r="AE427" s="122" t="s">
        <v>433</v>
      </c>
      <c r="AF427" s="92"/>
      <c r="AG427" s="92"/>
      <c r="AH427" s="92" t="s">
        <v>2</v>
      </c>
      <c r="AI427" s="92" t="s">
        <v>1785</v>
      </c>
      <c r="AJ427" s="92" t="s">
        <v>1787</v>
      </c>
      <c r="AK427" s="92" t="s">
        <v>1779</v>
      </c>
      <c r="AL427" s="92">
        <v>0</v>
      </c>
      <c r="AM427" s="92">
        <v>0</v>
      </c>
    </row>
    <row r="428" spans="2:39">
      <c r="B428" s="122">
        <v>2149</v>
      </c>
      <c r="C428" s="132">
        <v>84169</v>
      </c>
      <c r="D428" s="122" t="s">
        <v>433</v>
      </c>
      <c r="E428" s="92" t="s">
        <v>1626</v>
      </c>
      <c r="F428" t="s">
        <v>1027</v>
      </c>
      <c r="I428" s="122">
        <v>12</v>
      </c>
      <c r="J428" s="92"/>
      <c r="K428" s="122">
        <v>0</v>
      </c>
      <c r="L428" s="92"/>
      <c r="M428" s="92"/>
      <c r="N428" s="92" t="s">
        <v>646</v>
      </c>
      <c r="O428" s="92" t="s">
        <v>1789</v>
      </c>
      <c r="P428" s="92"/>
      <c r="Q428" s="92" t="s">
        <v>1790</v>
      </c>
      <c r="R428" s="92" t="s">
        <v>1791</v>
      </c>
      <c r="S428" s="133">
        <v>39755</v>
      </c>
      <c r="T428" s="133">
        <v>39755</v>
      </c>
      <c r="U428" s="92"/>
      <c r="V428" s="122">
        <v>1200</v>
      </c>
      <c r="W428" s="122">
        <v>14050</v>
      </c>
      <c r="X428" s="113">
        <v>1410.49</v>
      </c>
      <c r="Y428" s="122">
        <v>14056</v>
      </c>
      <c r="Z428" s="113">
        <v>1410.49</v>
      </c>
      <c r="AA428" s="113">
        <v>0</v>
      </c>
      <c r="AB428" s="113">
        <v>0</v>
      </c>
      <c r="AC428" s="122">
        <v>54260</v>
      </c>
      <c r="AD428" s="113">
        <v>0</v>
      </c>
      <c r="AE428" s="122" t="s">
        <v>663</v>
      </c>
      <c r="AF428" s="92" t="s">
        <v>905</v>
      </c>
      <c r="AG428" s="92" t="s">
        <v>1212</v>
      </c>
      <c r="AH428" s="92" t="s">
        <v>2</v>
      </c>
      <c r="AI428" s="92" t="s">
        <v>1785</v>
      </c>
      <c r="AJ428" s="92" t="s">
        <v>1787</v>
      </c>
      <c r="AK428" s="92" t="s">
        <v>1779</v>
      </c>
      <c r="AL428" s="92">
        <v>0</v>
      </c>
      <c r="AM428" s="92">
        <v>0</v>
      </c>
    </row>
    <row r="429" spans="2:39">
      <c r="B429" s="122">
        <v>2149</v>
      </c>
      <c r="C429" s="132">
        <v>82337</v>
      </c>
      <c r="D429" s="122">
        <v>82027</v>
      </c>
      <c r="E429" s="92" t="s">
        <v>1626</v>
      </c>
      <c r="F429" t="s">
        <v>1026</v>
      </c>
      <c r="I429" s="122">
        <v>1</v>
      </c>
      <c r="J429" s="92"/>
      <c r="K429" s="122">
        <v>0</v>
      </c>
      <c r="L429" s="92" t="s">
        <v>1025</v>
      </c>
      <c r="M429" s="92"/>
      <c r="N429" s="92" t="s">
        <v>1800</v>
      </c>
      <c r="O429" s="92" t="s">
        <v>1800</v>
      </c>
      <c r="P429" s="92"/>
      <c r="Q429" s="92"/>
      <c r="R429" s="92"/>
      <c r="S429" s="133">
        <v>40663</v>
      </c>
      <c r="T429" s="133">
        <v>40663</v>
      </c>
      <c r="U429" s="92" t="s">
        <v>1020</v>
      </c>
      <c r="V429" s="122">
        <v>802</v>
      </c>
      <c r="W429" s="122">
        <v>14090</v>
      </c>
      <c r="X429" s="113">
        <v>2444.87</v>
      </c>
      <c r="Y429" s="122">
        <v>14096</v>
      </c>
      <c r="Z429" s="113">
        <v>2444.87</v>
      </c>
      <c r="AA429" s="113">
        <v>0</v>
      </c>
      <c r="AB429" s="113">
        <v>0</v>
      </c>
      <c r="AC429" s="122">
        <v>57260</v>
      </c>
      <c r="AD429" s="113">
        <v>0</v>
      </c>
      <c r="AE429" s="122" t="s">
        <v>433</v>
      </c>
      <c r="AF429" s="92"/>
      <c r="AG429" s="92"/>
      <c r="AH429" s="92" t="s">
        <v>2</v>
      </c>
      <c r="AI429" s="92" t="s">
        <v>1785</v>
      </c>
      <c r="AJ429" s="92" t="s">
        <v>1787</v>
      </c>
      <c r="AK429" s="92" t="s">
        <v>1779</v>
      </c>
      <c r="AL429" s="92">
        <v>0</v>
      </c>
      <c r="AM429" s="92">
        <v>0</v>
      </c>
    </row>
    <row r="430" spans="2:39">
      <c r="B430" s="122">
        <v>2149</v>
      </c>
      <c r="C430" s="132">
        <v>82314</v>
      </c>
      <c r="D430" s="122" t="s">
        <v>433</v>
      </c>
      <c r="E430" s="92" t="s">
        <v>1626</v>
      </c>
      <c r="F430" t="s">
        <v>1024</v>
      </c>
      <c r="I430" s="122">
        <v>6</v>
      </c>
      <c r="J430" s="92"/>
      <c r="K430" s="122">
        <v>0</v>
      </c>
      <c r="L430" s="92" t="s">
        <v>1023</v>
      </c>
      <c r="M430" s="92"/>
      <c r="N430" s="92" t="s">
        <v>646</v>
      </c>
      <c r="O430" s="92" t="s">
        <v>1789</v>
      </c>
      <c r="P430" s="92"/>
      <c r="Q430" s="92" t="s">
        <v>1818</v>
      </c>
      <c r="R430" s="92" t="s">
        <v>1791</v>
      </c>
      <c r="S430" s="133">
        <v>40679</v>
      </c>
      <c r="T430" s="133">
        <v>40679</v>
      </c>
      <c r="U430" s="92" t="s">
        <v>1022</v>
      </c>
      <c r="V430" s="122">
        <v>1200</v>
      </c>
      <c r="W430" s="122">
        <v>14050</v>
      </c>
      <c r="X430" s="113">
        <v>2610</v>
      </c>
      <c r="Y430" s="122">
        <v>14056</v>
      </c>
      <c r="Z430" s="113">
        <v>2610</v>
      </c>
      <c r="AA430" s="113">
        <v>0</v>
      </c>
      <c r="AB430" s="113">
        <v>0</v>
      </c>
      <c r="AC430" s="122">
        <v>54260</v>
      </c>
      <c r="AD430" s="113">
        <v>0</v>
      </c>
      <c r="AE430" s="122" t="s">
        <v>433</v>
      </c>
      <c r="AF430" s="92"/>
      <c r="AG430" s="92"/>
      <c r="AH430" s="92" t="s">
        <v>2</v>
      </c>
      <c r="AI430" s="92" t="s">
        <v>1785</v>
      </c>
      <c r="AJ430" s="92" t="s">
        <v>1787</v>
      </c>
      <c r="AK430" s="92" t="s">
        <v>1779</v>
      </c>
      <c r="AL430" s="92">
        <v>0</v>
      </c>
      <c r="AM430" s="92">
        <v>0</v>
      </c>
    </row>
    <row r="431" spans="2:39">
      <c r="B431" s="122">
        <v>2149</v>
      </c>
      <c r="C431" s="132">
        <v>82027</v>
      </c>
      <c r="D431" s="122" t="s">
        <v>433</v>
      </c>
      <c r="E431" s="92" t="s">
        <v>1626</v>
      </c>
      <c r="F431" t="s">
        <v>1021</v>
      </c>
      <c r="I431" s="122">
        <v>1</v>
      </c>
      <c r="J431" s="92"/>
      <c r="K431" s="122">
        <v>0</v>
      </c>
      <c r="L431" s="92"/>
      <c r="M431" s="92"/>
      <c r="N431" s="92" t="s">
        <v>1800</v>
      </c>
      <c r="O431" s="92" t="s">
        <v>1800</v>
      </c>
      <c r="P431" s="92"/>
      <c r="Q431" s="92"/>
      <c r="R431" s="92"/>
      <c r="S431" s="133">
        <v>40663</v>
      </c>
      <c r="T431" s="133">
        <v>40663</v>
      </c>
      <c r="U431" s="92" t="s">
        <v>1020</v>
      </c>
      <c r="V431" s="122">
        <v>802</v>
      </c>
      <c r="W431" s="122">
        <v>14090</v>
      </c>
      <c r="X431" s="113">
        <v>2444.88</v>
      </c>
      <c r="Y431" s="122">
        <v>14096</v>
      </c>
      <c r="Z431" s="113">
        <v>2444.88</v>
      </c>
      <c r="AA431" s="113">
        <v>0</v>
      </c>
      <c r="AB431" s="113">
        <v>0</v>
      </c>
      <c r="AC431" s="122">
        <v>57260</v>
      </c>
      <c r="AD431" s="113">
        <v>0</v>
      </c>
      <c r="AE431" s="122" t="s">
        <v>433</v>
      </c>
      <c r="AF431" s="92"/>
      <c r="AG431" s="92"/>
      <c r="AH431" s="92" t="s">
        <v>2</v>
      </c>
      <c r="AI431" s="92" t="s">
        <v>1785</v>
      </c>
      <c r="AJ431" s="92" t="s">
        <v>1787</v>
      </c>
      <c r="AK431" s="92" t="s">
        <v>1779</v>
      </c>
      <c r="AL431" s="92">
        <v>0</v>
      </c>
      <c r="AM431" s="92">
        <v>0</v>
      </c>
    </row>
    <row r="432" spans="2:39">
      <c r="B432" s="122">
        <v>2149</v>
      </c>
      <c r="C432" s="132">
        <v>81955</v>
      </c>
      <c r="D432" s="122" t="s">
        <v>433</v>
      </c>
      <c r="E432" s="92" t="s">
        <v>1626</v>
      </c>
      <c r="F432" t="s">
        <v>1019</v>
      </c>
      <c r="I432" s="122">
        <v>3</v>
      </c>
      <c r="J432" s="92"/>
      <c r="K432" s="122">
        <v>0</v>
      </c>
      <c r="L432" s="92" t="s">
        <v>798</v>
      </c>
      <c r="M432" s="92"/>
      <c r="N432" s="92" t="s">
        <v>646</v>
      </c>
      <c r="O432" s="92" t="s">
        <v>1789</v>
      </c>
      <c r="P432" s="92"/>
      <c r="Q432" s="92" t="s">
        <v>1796</v>
      </c>
      <c r="R432" s="92" t="s">
        <v>1794</v>
      </c>
      <c r="S432" s="133">
        <v>40678</v>
      </c>
      <c r="T432" s="133">
        <v>40678</v>
      </c>
      <c r="U432" s="92" t="s">
        <v>1018</v>
      </c>
      <c r="V432" s="122">
        <v>1200</v>
      </c>
      <c r="W432" s="122">
        <v>14050</v>
      </c>
      <c r="X432" s="113">
        <v>16462</v>
      </c>
      <c r="Y432" s="122">
        <v>14056</v>
      </c>
      <c r="Z432" s="113">
        <v>16462</v>
      </c>
      <c r="AA432" s="113">
        <v>0</v>
      </c>
      <c r="AB432" s="113">
        <v>0</v>
      </c>
      <c r="AC432" s="122">
        <v>54260</v>
      </c>
      <c r="AD432" s="113">
        <v>0</v>
      </c>
      <c r="AE432" s="122" t="s">
        <v>433</v>
      </c>
      <c r="AF432" s="92"/>
      <c r="AG432" s="92"/>
      <c r="AH432" s="92" t="s">
        <v>2</v>
      </c>
      <c r="AI432" s="92" t="s">
        <v>1785</v>
      </c>
      <c r="AJ432" s="92" t="s">
        <v>1787</v>
      </c>
      <c r="AK432" s="92" t="s">
        <v>1779</v>
      </c>
      <c r="AL432" s="92">
        <v>0</v>
      </c>
      <c r="AM432" s="92">
        <v>0</v>
      </c>
    </row>
    <row r="433" spans="2:39">
      <c r="B433" s="122">
        <v>2149</v>
      </c>
      <c r="C433" s="132">
        <v>80809</v>
      </c>
      <c r="D433" s="122">
        <v>80465</v>
      </c>
      <c r="E433" s="92" t="s">
        <v>1626</v>
      </c>
      <c r="F433" t="s">
        <v>1017</v>
      </c>
      <c r="I433" s="122">
        <v>1</v>
      </c>
      <c r="J433" s="92"/>
      <c r="K433" s="122">
        <v>0</v>
      </c>
      <c r="L433" s="92" t="s">
        <v>1016</v>
      </c>
      <c r="M433" s="92"/>
      <c r="N433" s="92" t="s">
        <v>1800</v>
      </c>
      <c r="O433" s="92" t="s">
        <v>1800</v>
      </c>
      <c r="P433" s="92"/>
      <c r="Q433" s="92"/>
      <c r="R433" s="92"/>
      <c r="S433" s="133">
        <v>40633</v>
      </c>
      <c r="T433" s="133">
        <v>40633</v>
      </c>
      <c r="U433" s="92" t="s">
        <v>1011</v>
      </c>
      <c r="V433" s="122">
        <v>803</v>
      </c>
      <c r="W433" s="122">
        <v>14090</v>
      </c>
      <c r="X433" s="113">
        <v>1853</v>
      </c>
      <c r="Y433" s="122">
        <v>14096</v>
      </c>
      <c r="Z433" s="113">
        <v>1853</v>
      </c>
      <c r="AA433" s="113">
        <v>0</v>
      </c>
      <c r="AB433" s="113">
        <v>0</v>
      </c>
      <c r="AC433" s="122">
        <v>57260</v>
      </c>
      <c r="AD433" s="113">
        <v>0</v>
      </c>
      <c r="AE433" s="122" t="s">
        <v>433</v>
      </c>
      <c r="AF433" s="92"/>
      <c r="AG433" s="92"/>
      <c r="AH433" s="92" t="s">
        <v>2</v>
      </c>
      <c r="AI433" s="92" t="s">
        <v>1785</v>
      </c>
      <c r="AJ433" s="92" t="s">
        <v>1787</v>
      </c>
      <c r="AK433" s="92" t="s">
        <v>1779</v>
      </c>
      <c r="AL433" s="92">
        <v>0</v>
      </c>
      <c r="AM433" s="92">
        <v>0</v>
      </c>
    </row>
    <row r="434" spans="2:39">
      <c r="B434" s="122">
        <v>2149</v>
      </c>
      <c r="C434" s="132">
        <v>80708</v>
      </c>
      <c r="D434" s="122">
        <v>80465</v>
      </c>
      <c r="E434" s="92" t="s">
        <v>1626</v>
      </c>
      <c r="F434" t="s">
        <v>1015</v>
      </c>
      <c r="I434" s="122">
        <v>1</v>
      </c>
      <c r="J434" s="92"/>
      <c r="K434" s="122">
        <v>0</v>
      </c>
      <c r="L434" s="92" t="s">
        <v>1014</v>
      </c>
      <c r="M434" s="92"/>
      <c r="N434" s="92" t="s">
        <v>1800</v>
      </c>
      <c r="O434" s="92" t="s">
        <v>1800</v>
      </c>
      <c r="P434" s="92"/>
      <c r="Q434" s="92"/>
      <c r="R434" s="92"/>
      <c r="S434" s="133">
        <v>40633</v>
      </c>
      <c r="T434" s="133">
        <v>40633</v>
      </c>
      <c r="U434" s="92" t="s">
        <v>1011</v>
      </c>
      <c r="V434" s="122">
        <v>803</v>
      </c>
      <c r="W434" s="122">
        <v>14090</v>
      </c>
      <c r="X434" s="113">
        <v>72899</v>
      </c>
      <c r="Y434" s="122">
        <v>14096</v>
      </c>
      <c r="Z434" s="113">
        <v>72899</v>
      </c>
      <c r="AA434" s="113">
        <v>0</v>
      </c>
      <c r="AB434" s="113">
        <v>0</v>
      </c>
      <c r="AC434" s="122">
        <v>57260</v>
      </c>
      <c r="AD434" s="113">
        <v>0</v>
      </c>
      <c r="AE434" s="122" t="s">
        <v>433</v>
      </c>
      <c r="AF434" s="92"/>
      <c r="AG434" s="92"/>
      <c r="AH434" s="92" t="s">
        <v>2</v>
      </c>
      <c r="AI434" s="92" t="s">
        <v>1785</v>
      </c>
      <c r="AJ434" s="92" t="s">
        <v>1787</v>
      </c>
      <c r="AK434" s="92" t="s">
        <v>1779</v>
      </c>
      <c r="AL434" s="92">
        <v>0</v>
      </c>
      <c r="AM434" s="92">
        <v>0</v>
      </c>
    </row>
    <row r="435" spans="2:39">
      <c r="B435" s="122">
        <v>2149</v>
      </c>
      <c r="C435" s="132">
        <v>80465</v>
      </c>
      <c r="D435" s="122" t="s">
        <v>433</v>
      </c>
      <c r="E435" s="92" t="s">
        <v>1626</v>
      </c>
      <c r="F435" t="s">
        <v>1013</v>
      </c>
      <c r="I435" s="122">
        <v>1</v>
      </c>
      <c r="J435" s="92"/>
      <c r="K435" s="122">
        <v>0</v>
      </c>
      <c r="L435" s="92" t="s">
        <v>1012</v>
      </c>
      <c r="M435" s="92"/>
      <c r="N435" s="92" t="s">
        <v>1800</v>
      </c>
      <c r="O435" s="92" t="s">
        <v>1800</v>
      </c>
      <c r="P435" s="92"/>
      <c r="Q435" s="92"/>
      <c r="R435" s="92"/>
      <c r="S435" s="133">
        <v>40633</v>
      </c>
      <c r="T435" s="133">
        <v>40633</v>
      </c>
      <c r="U435" s="92" t="s">
        <v>1011</v>
      </c>
      <c r="V435" s="122">
        <v>803</v>
      </c>
      <c r="W435" s="122">
        <v>14090</v>
      </c>
      <c r="X435" s="113">
        <v>85803.33</v>
      </c>
      <c r="Y435" s="122">
        <v>14096</v>
      </c>
      <c r="Z435" s="113">
        <v>85803.33</v>
      </c>
      <c r="AA435" s="113">
        <v>0</v>
      </c>
      <c r="AB435" s="113">
        <v>0</v>
      </c>
      <c r="AC435" s="122">
        <v>57260</v>
      </c>
      <c r="AD435" s="113">
        <v>0</v>
      </c>
      <c r="AE435" s="122" t="s">
        <v>433</v>
      </c>
      <c r="AF435" s="92"/>
      <c r="AG435" s="92"/>
      <c r="AH435" s="92" t="s">
        <v>2</v>
      </c>
      <c r="AI435" s="92" t="s">
        <v>1785</v>
      </c>
      <c r="AJ435" s="92" t="s">
        <v>1787</v>
      </c>
      <c r="AK435" s="92" t="s">
        <v>1779</v>
      </c>
      <c r="AL435" s="92">
        <v>0</v>
      </c>
      <c r="AM435" s="92">
        <v>0</v>
      </c>
    </row>
    <row r="436" spans="2:39">
      <c r="B436" s="122">
        <v>2149</v>
      </c>
      <c r="C436" s="132">
        <v>80334</v>
      </c>
      <c r="D436" s="122" t="s">
        <v>433</v>
      </c>
      <c r="E436" s="92" t="s">
        <v>1626</v>
      </c>
      <c r="F436" t="s">
        <v>1010</v>
      </c>
      <c r="I436" s="122">
        <v>1</v>
      </c>
      <c r="J436" s="92" t="s">
        <v>596</v>
      </c>
      <c r="K436" s="122">
        <v>2000</v>
      </c>
      <c r="L436" s="92" t="s">
        <v>724</v>
      </c>
      <c r="M436" s="92" t="s">
        <v>1009</v>
      </c>
      <c r="N436" s="92" t="s">
        <v>1788</v>
      </c>
      <c r="O436" s="92" t="s">
        <v>1789</v>
      </c>
      <c r="P436" s="92" t="s">
        <v>1009</v>
      </c>
      <c r="Q436" s="92"/>
      <c r="R436" s="92"/>
      <c r="S436" s="133">
        <v>38103</v>
      </c>
      <c r="T436" s="133">
        <v>38103</v>
      </c>
      <c r="U436" s="92">
        <v>42112001</v>
      </c>
      <c r="V436" s="122">
        <v>700</v>
      </c>
      <c r="W436" s="122">
        <v>14040</v>
      </c>
      <c r="X436" s="113">
        <v>62187</v>
      </c>
      <c r="Y436" s="122">
        <v>14046</v>
      </c>
      <c r="Z436" s="113">
        <v>62187</v>
      </c>
      <c r="AA436" s="113">
        <v>0</v>
      </c>
      <c r="AB436" s="113">
        <v>0</v>
      </c>
      <c r="AC436" s="122">
        <v>51260</v>
      </c>
      <c r="AD436" s="113">
        <v>0</v>
      </c>
      <c r="AE436" s="122" t="s">
        <v>663</v>
      </c>
      <c r="AF436" s="92">
        <v>0</v>
      </c>
      <c r="AG436" s="92">
        <v>17</v>
      </c>
      <c r="AH436" s="92" t="s">
        <v>2</v>
      </c>
      <c r="AI436" s="92" t="s">
        <v>1785</v>
      </c>
      <c r="AJ436" s="92" t="s">
        <v>1787</v>
      </c>
      <c r="AK436" s="92" t="s">
        <v>1779</v>
      </c>
      <c r="AL436" s="92">
        <v>0</v>
      </c>
      <c r="AM436" s="92">
        <v>0</v>
      </c>
    </row>
    <row r="437" spans="2:39">
      <c r="B437" s="122">
        <v>2149</v>
      </c>
      <c r="C437" s="132">
        <v>79740</v>
      </c>
      <c r="D437" s="122">
        <v>79739</v>
      </c>
      <c r="E437" s="92" t="s">
        <v>1626</v>
      </c>
      <c r="F437" t="s">
        <v>1008</v>
      </c>
      <c r="I437" s="122">
        <v>1</v>
      </c>
      <c r="J437" s="92"/>
      <c r="K437" s="122">
        <v>0</v>
      </c>
      <c r="L437" s="92" t="s">
        <v>1005</v>
      </c>
      <c r="M437" s="92"/>
      <c r="N437" s="92" t="s">
        <v>1798</v>
      </c>
      <c r="O437" s="92" t="s">
        <v>1789</v>
      </c>
      <c r="P437" s="92"/>
      <c r="Q437" s="92"/>
      <c r="R437" s="92"/>
      <c r="S437" s="133">
        <v>40544</v>
      </c>
      <c r="T437" s="133">
        <v>40544</v>
      </c>
      <c r="U437" s="92" t="s">
        <v>1007</v>
      </c>
      <c r="V437" s="122">
        <v>211</v>
      </c>
      <c r="W437" s="122">
        <v>14110</v>
      </c>
      <c r="X437" s="113">
        <v>1674.5</v>
      </c>
      <c r="Y437" s="122">
        <v>14116</v>
      </c>
      <c r="Z437" s="113">
        <v>1674.5</v>
      </c>
      <c r="AA437" s="113">
        <v>0</v>
      </c>
      <c r="AB437" s="113">
        <v>0</v>
      </c>
      <c r="AC437" s="122">
        <v>70260</v>
      </c>
      <c r="AD437" s="113">
        <v>0</v>
      </c>
      <c r="AE437" s="122" t="s">
        <v>433</v>
      </c>
      <c r="AF437" s="92"/>
      <c r="AG437" s="92"/>
      <c r="AH437" s="92" t="s">
        <v>2</v>
      </c>
      <c r="AI437" s="92" t="s">
        <v>1785</v>
      </c>
      <c r="AJ437" s="92" t="s">
        <v>1787</v>
      </c>
      <c r="AK437" s="92" t="s">
        <v>1779</v>
      </c>
      <c r="AL437" s="92">
        <v>0</v>
      </c>
      <c r="AM437" s="92">
        <v>0</v>
      </c>
    </row>
    <row r="438" spans="2:39">
      <c r="B438" s="122">
        <v>2149</v>
      </c>
      <c r="C438" s="132">
        <v>79739</v>
      </c>
      <c r="D438" s="122" t="s">
        <v>433</v>
      </c>
      <c r="E438" s="92" t="s">
        <v>1626</v>
      </c>
      <c r="F438" t="s">
        <v>1006</v>
      </c>
      <c r="I438" s="122">
        <v>1</v>
      </c>
      <c r="J438" s="92"/>
      <c r="K438" s="122">
        <v>0</v>
      </c>
      <c r="L438" s="92" t="s">
        <v>1005</v>
      </c>
      <c r="M438" s="92"/>
      <c r="N438" s="92" t="s">
        <v>1798</v>
      </c>
      <c r="O438" s="92" t="s">
        <v>1789</v>
      </c>
      <c r="P438" s="92"/>
      <c r="Q438" s="92"/>
      <c r="R438" s="92"/>
      <c r="S438" s="133">
        <v>40544</v>
      </c>
      <c r="T438" s="133">
        <v>40544</v>
      </c>
      <c r="U438" s="92" t="s">
        <v>1004</v>
      </c>
      <c r="V438" s="122">
        <v>211</v>
      </c>
      <c r="W438" s="122">
        <v>14110</v>
      </c>
      <c r="X438" s="113">
        <v>7417</v>
      </c>
      <c r="Y438" s="122">
        <v>14116</v>
      </c>
      <c r="Z438" s="113">
        <v>7417</v>
      </c>
      <c r="AA438" s="113">
        <v>0</v>
      </c>
      <c r="AB438" s="113">
        <v>0</v>
      </c>
      <c r="AC438" s="122">
        <v>70260</v>
      </c>
      <c r="AD438" s="113">
        <v>0</v>
      </c>
      <c r="AE438" s="122" t="s">
        <v>433</v>
      </c>
      <c r="AF438" s="92"/>
      <c r="AG438" s="92"/>
      <c r="AH438" s="92" t="s">
        <v>2</v>
      </c>
      <c r="AI438" s="92" t="s">
        <v>1785</v>
      </c>
      <c r="AJ438" s="92" t="s">
        <v>1787</v>
      </c>
      <c r="AK438" s="92" t="s">
        <v>1779</v>
      </c>
      <c r="AL438" s="92">
        <v>0</v>
      </c>
      <c r="AM438" s="92">
        <v>0</v>
      </c>
    </row>
    <row r="439" spans="2:39">
      <c r="B439" s="122">
        <v>2149</v>
      </c>
      <c r="C439" s="132">
        <v>79735</v>
      </c>
      <c r="D439" s="122">
        <v>79734</v>
      </c>
      <c r="E439" s="92" t="s">
        <v>1626</v>
      </c>
      <c r="F439" t="s">
        <v>1003</v>
      </c>
      <c r="I439" s="122">
        <v>1</v>
      </c>
      <c r="J439" s="92"/>
      <c r="K439" s="122">
        <v>0</v>
      </c>
      <c r="L439" s="92" t="s">
        <v>1001</v>
      </c>
      <c r="M439" s="92"/>
      <c r="N439" s="92" t="s">
        <v>1801</v>
      </c>
      <c r="O439" s="92" t="s">
        <v>1789</v>
      </c>
      <c r="P439" s="92"/>
      <c r="Q439" s="92"/>
      <c r="R439" s="92"/>
      <c r="S439" s="133">
        <v>40544</v>
      </c>
      <c r="T439" s="133">
        <v>40544</v>
      </c>
      <c r="U439" s="92" t="s">
        <v>1000</v>
      </c>
      <c r="V439" s="122">
        <v>500</v>
      </c>
      <c r="W439" s="122">
        <v>14070</v>
      </c>
      <c r="X439" s="113">
        <v>53.66</v>
      </c>
      <c r="Y439" s="122">
        <v>14076</v>
      </c>
      <c r="Z439" s="113">
        <v>53.66</v>
      </c>
      <c r="AA439" s="113">
        <v>0</v>
      </c>
      <c r="AB439" s="113">
        <v>0</v>
      </c>
      <c r="AC439" s="122">
        <v>51260</v>
      </c>
      <c r="AD439" s="113">
        <v>0</v>
      </c>
      <c r="AE439" s="122" t="s">
        <v>433</v>
      </c>
      <c r="AF439" s="92"/>
      <c r="AG439" s="92"/>
      <c r="AH439" s="92" t="s">
        <v>2</v>
      </c>
      <c r="AI439" s="92" t="s">
        <v>1785</v>
      </c>
      <c r="AJ439" s="92" t="s">
        <v>1787</v>
      </c>
      <c r="AK439" s="92" t="s">
        <v>1779</v>
      </c>
      <c r="AL439" s="92">
        <v>0</v>
      </c>
      <c r="AM439" s="92">
        <v>0</v>
      </c>
    </row>
    <row r="440" spans="2:39">
      <c r="B440" s="122">
        <v>2149</v>
      </c>
      <c r="C440" s="132">
        <v>79734</v>
      </c>
      <c r="D440" s="122" t="s">
        <v>433</v>
      </c>
      <c r="E440" s="92" t="s">
        <v>1626</v>
      </c>
      <c r="F440" t="s">
        <v>1002</v>
      </c>
      <c r="I440" s="122">
        <v>1</v>
      </c>
      <c r="J440" s="92"/>
      <c r="K440" s="122">
        <v>0</v>
      </c>
      <c r="L440" s="92" t="s">
        <v>1001</v>
      </c>
      <c r="M440" s="92"/>
      <c r="N440" s="92" t="s">
        <v>1801</v>
      </c>
      <c r="O440" s="92" t="s">
        <v>1789</v>
      </c>
      <c r="P440" s="92"/>
      <c r="Q440" s="92"/>
      <c r="R440" s="92"/>
      <c r="S440" s="133">
        <v>40544</v>
      </c>
      <c r="T440" s="133">
        <v>40544</v>
      </c>
      <c r="U440" s="92" t="s">
        <v>1000</v>
      </c>
      <c r="V440" s="122">
        <v>500</v>
      </c>
      <c r="W440" s="122">
        <v>14070</v>
      </c>
      <c r="X440" s="113">
        <v>1842.29</v>
      </c>
      <c r="Y440" s="122">
        <v>14076</v>
      </c>
      <c r="Z440" s="113">
        <v>1842.29</v>
      </c>
      <c r="AA440" s="113">
        <v>0</v>
      </c>
      <c r="AB440" s="113">
        <v>0</v>
      </c>
      <c r="AC440" s="122">
        <v>51260</v>
      </c>
      <c r="AD440" s="113">
        <v>0</v>
      </c>
      <c r="AE440" s="122" t="s">
        <v>433</v>
      </c>
      <c r="AF440" s="92"/>
      <c r="AG440" s="92"/>
      <c r="AH440" s="92" t="s">
        <v>2</v>
      </c>
      <c r="AI440" s="92" t="s">
        <v>1785</v>
      </c>
      <c r="AJ440" s="92" t="s">
        <v>1787</v>
      </c>
      <c r="AK440" s="92" t="s">
        <v>1779</v>
      </c>
      <c r="AL440" s="92">
        <v>0</v>
      </c>
      <c r="AM440" s="92">
        <v>0</v>
      </c>
    </row>
    <row r="441" spans="2:39">
      <c r="B441" s="122">
        <v>2149</v>
      </c>
      <c r="C441" s="132">
        <v>79564</v>
      </c>
      <c r="D441" s="122" t="s">
        <v>433</v>
      </c>
      <c r="E441" s="92" t="s">
        <v>1626</v>
      </c>
      <c r="F441" t="s">
        <v>999</v>
      </c>
      <c r="I441" s="122">
        <v>1</v>
      </c>
      <c r="J441" s="92"/>
      <c r="K441" s="122">
        <v>0</v>
      </c>
      <c r="L441" s="92" t="s">
        <v>998</v>
      </c>
      <c r="M441" s="92"/>
      <c r="N441" s="92" t="s">
        <v>1801</v>
      </c>
      <c r="O441" s="92" t="s">
        <v>1789</v>
      </c>
      <c r="P441" s="92"/>
      <c r="Q441" s="92"/>
      <c r="R441" s="92"/>
      <c r="S441" s="133">
        <v>40520</v>
      </c>
      <c r="T441" s="133">
        <v>40520</v>
      </c>
      <c r="U441" s="92" t="s">
        <v>997</v>
      </c>
      <c r="V441" s="122">
        <v>500</v>
      </c>
      <c r="W441" s="122">
        <v>14070</v>
      </c>
      <c r="X441" s="113">
        <v>3253.09</v>
      </c>
      <c r="Y441" s="122">
        <v>14076</v>
      </c>
      <c r="Z441" s="113">
        <v>3253.09</v>
      </c>
      <c r="AA441" s="113">
        <v>0</v>
      </c>
      <c r="AB441" s="113">
        <v>0</v>
      </c>
      <c r="AC441" s="122">
        <v>51260</v>
      </c>
      <c r="AD441" s="113">
        <v>0</v>
      </c>
      <c r="AE441" s="122" t="s">
        <v>433</v>
      </c>
      <c r="AF441" s="92"/>
      <c r="AG441" s="92"/>
      <c r="AH441" s="92" t="s">
        <v>2</v>
      </c>
      <c r="AI441" s="92" t="s">
        <v>1785</v>
      </c>
      <c r="AJ441" s="92" t="s">
        <v>1787</v>
      </c>
      <c r="AK441" s="92" t="s">
        <v>1779</v>
      </c>
      <c r="AL441" s="92">
        <v>0</v>
      </c>
      <c r="AM441" s="92">
        <v>0</v>
      </c>
    </row>
    <row r="442" spans="2:39">
      <c r="B442" s="122">
        <v>2149</v>
      </c>
      <c r="C442" s="132">
        <v>78750</v>
      </c>
      <c r="D442" s="122" t="s">
        <v>433</v>
      </c>
      <c r="E442" s="92" t="s">
        <v>1626</v>
      </c>
      <c r="F442" t="s">
        <v>996</v>
      </c>
      <c r="I442" s="122">
        <v>1</v>
      </c>
      <c r="J442" s="92"/>
      <c r="K442" s="122">
        <v>0</v>
      </c>
      <c r="L442" s="92" t="s">
        <v>995</v>
      </c>
      <c r="M442" s="92"/>
      <c r="N442" s="92" t="s">
        <v>1800</v>
      </c>
      <c r="O442" s="92" t="s">
        <v>1800</v>
      </c>
      <c r="P442" s="92"/>
      <c r="Q442" s="92"/>
      <c r="R442" s="92"/>
      <c r="S442" s="133">
        <v>40527</v>
      </c>
      <c r="T442" s="133">
        <v>40527</v>
      </c>
      <c r="U442" s="92" t="s">
        <v>994</v>
      </c>
      <c r="V442" s="122">
        <v>807</v>
      </c>
      <c r="W442" s="122">
        <v>14090</v>
      </c>
      <c r="X442" s="113">
        <v>4681.47</v>
      </c>
      <c r="Y442" s="122">
        <v>14096</v>
      </c>
      <c r="Z442" s="113">
        <v>4681.47</v>
      </c>
      <c r="AA442" s="113">
        <v>0</v>
      </c>
      <c r="AB442" s="113">
        <v>0</v>
      </c>
      <c r="AC442" s="122">
        <v>57260</v>
      </c>
      <c r="AD442" s="113">
        <v>0</v>
      </c>
      <c r="AE442" s="122" t="s">
        <v>433</v>
      </c>
      <c r="AF442" s="92"/>
      <c r="AG442" s="92"/>
      <c r="AH442" s="92" t="s">
        <v>2</v>
      </c>
      <c r="AI442" s="92" t="s">
        <v>1785</v>
      </c>
      <c r="AJ442" s="92" t="s">
        <v>1787</v>
      </c>
      <c r="AK442" s="92" t="s">
        <v>1779</v>
      </c>
      <c r="AL442" s="92">
        <v>0</v>
      </c>
      <c r="AM442" s="92">
        <v>0</v>
      </c>
    </row>
    <row r="443" spans="2:39">
      <c r="B443" s="122">
        <v>2149</v>
      </c>
      <c r="C443" s="132">
        <v>78749</v>
      </c>
      <c r="D443" s="122" t="s">
        <v>433</v>
      </c>
      <c r="E443" s="92" t="s">
        <v>1626</v>
      </c>
      <c r="F443" t="s">
        <v>993</v>
      </c>
      <c r="I443" s="122">
        <v>1</v>
      </c>
      <c r="J443" s="92"/>
      <c r="K443" s="122">
        <v>0</v>
      </c>
      <c r="L443" s="92" t="s">
        <v>992</v>
      </c>
      <c r="M443" s="92"/>
      <c r="N443" s="92" t="s">
        <v>1798</v>
      </c>
      <c r="O443" s="92" t="s">
        <v>1789</v>
      </c>
      <c r="P443" s="92"/>
      <c r="Q443" s="92"/>
      <c r="R443" s="92"/>
      <c r="S443" s="133">
        <v>40540</v>
      </c>
      <c r="T443" s="133">
        <v>40540</v>
      </c>
      <c r="U443" s="92" t="s">
        <v>991</v>
      </c>
      <c r="V443" s="122">
        <v>300</v>
      </c>
      <c r="W443" s="122">
        <v>14110</v>
      </c>
      <c r="X443" s="113">
        <v>3765.82</v>
      </c>
      <c r="Y443" s="122">
        <v>14116</v>
      </c>
      <c r="Z443" s="113">
        <v>3765.82</v>
      </c>
      <c r="AA443" s="113">
        <v>0</v>
      </c>
      <c r="AB443" s="113">
        <v>0</v>
      </c>
      <c r="AC443" s="122">
        <v>70260</v>
      </c>
      <c r="AD443" s="113">
        <v>0</v>
      </c>
      <c r="AE443" s="122" t="s">
        <v>433</v>
      </c>
      <c r="AF443" s="92"/>
      <c r="AG443" s="92"/>
      <c r="AH443" s="92" t="s">
        <v>2</v>
      </c>
      <c r="AI443" s="92" t="s">
        <v>1785</v>
      </c>
      <c r="AJ443" s="92" t="s">
        <v>1787</v>
      </c>
      <c r="AK443" s="92" t="s">
        <v>1779</v>
      </c>
      <c r="AL443" s="92">
        <v>0</v>
      </c>
      <c r="AM443" s="92">
        <v>0</v>
      </c>
    </row>
    <row r="444" spans="2:39">
      <c r="B444" s="122">
        <v>2149</v>
      </c>
      <c r="C444" s="132">
        <v>76985</v>
      </c>
      <c r="D444" s="122" t="s">
        <v>433</v>
      </c>
      <c r="E444" s="92" t="s">
        <v>1626</v>
      </c>
      <c r="F444" t="s">
        <v>990</v>
      </c>
      <c r="I444" s="122">
        <v>200</v>
      </c>
      <c r="J444" s="92"/>
      <c r="K444" s="122">
        <v>0</v>
      </c>
      <c r="L444" s="92" t="s">
        <v>844</v>
      </c>
      <c r="M444" s="92"/>
      <c r="N444" s="92" t="s">
        <v>646</v>
      </c>
      <c r="O444" s="92" t="s">
        <v>1789</v>
      </c>
      <c r="P444" s="92"/>
      <c r="Q444" s="92"/>
      <c r="R444" s="92"/>
      <c r="S444" s="133">
        <v>40429</v>
      </c>
      <c r="T444" s="133">
        <v>40429</v>
      </c>
      <c r="U444" s="92" t="s">
        <v>989</v>
      </c>
      <c r="V444" s="122">
        <v>700</v>
      </c>
      <c r="W444" s="122">
        <v>14050</v>
      </c>
      <c r="X444" s="113">
        <v>11230.24</v>
      </c>
      <c r="Y444" s="122">
        <v>14056</v>
      </c>
      <c r="Z444" s="113">
        <v>11230.24</v>
      </c>
      <c r="AA444" s="113">
        <v>0</v>
      </c>
      <c r="AB444" s="113">
        <v>0</v>
      </c>
      <c r="AC444" s="122">
        <v>54260</v>
      </c>
      <c r="AD444" s="113">
        <v>0</v>
      </c>
      <c r="AE444" s="122" t="s">
        <v>433</v>
      </c>
      <c r="AF444" s="92"/>
      <c r="AG444" s="92"/>
      <c r="AH444" s="92" t="s">
        <v>2</v>
      </c>
      <c r="AI444" s="92" t="s">
        <v>1785</v>
      </c>
      <c r="AJ444" s="92" t="s">
        <v>1787</v>
      </c>
      <c r="AK444" s="92" t="s">
        <v>1779</v>
      </c>
      <c r="AL444" s="92">
        <v>0</v>
      </c>
      <c r="AM444" s="92">
        <v>0</v>
      </c>
    </row>
    <row r="445" spans="2:39">
      <c r="B445" s="122">
        <v>2149</v>
      </c>
      <c r="C445" s="132">
        <v>76923</v>
      </c>
      <c r="D445" s="122" t="s">
        <v>433</v>
      </c>
      <c r="E445" s="92" t="s">
        <v>1626</v>
      </c>
      <c r="F445" t="s">
        <v>675</v>
      </c>
      <c r="I445" s="122">
        <v>3</v>
      </c>
      <c r="J445" s="92"/>
      <c r="K445" s="122">
        <v>0</v>
      </c>
      <c r="L445" s="92" t="s">
        <v>986</v>
      </c>
      <c r="M445" s="92"/>
      <c r="N445" s="92" t="s">
        <v>646</v>
      </c>
      <c r="O445" s="92" t="s">
        <v>1789</v>
      </c>
      <c r="P445" s="92"/>
      <c r="Q445" s="92" t="s">
        <v>1790</v>
      </c>
      <c r="R445" s="92" t="s">
        <v>1791</v>
      </c>
      <c r="S445" s="133">
        <v>40360</v>
      </c>
      <c r="T445" s="133">
        <v>40360</v>
      </c>
      <c r="U445" s="92" t="s">
        <v>988</v>
      </c>
      <c r="V445" s="122">
        <v>1200</v>
      </c>
      <c r="W445" s="122">
        <v>14050</v>
      </c>
      <c r="X445" s="113">
        <v>1566.38</v>
      </c>
      <c r="Y445" s="122">
        <v>14056</v>
      </c>
      <c r="Z445" s="113">
        <v>1566.38</v>
      </c>
      <c r="AA445" s="113">
        <v>0</v>
      </c>
      <c r="AB445" s="113">
        <v>0</v>
      </c>
      <c r="AC445" s="122">
        <v>54260</v>
      </c>
      <c r="AD445" s="113">
        <v>0</v>
      </c>
      <c r="AE445" s="122" t="s">
        <v>433</v>
      </c>
      <c r="AF445" s="92"/>
      <c r="AG445" s="92"/>
      <c r="AH445" s="92" t="s">
        <v>2</v>
      </c>
      <c r="AI445" s="92" t="s">
        <v>1785</v>
      </c>
      <c r="AJ445" s="92" t="s">
        <v>1787</v>
      </c>
      <c r="AK445" s="92" t="s">
        <v>1779</v>
      </c>
      <c r="AL445" s="92">
        <v>0</v>
      </c>
      <c r="AM445" s="92">
        <v>0</v>
      </c>
    </row>
    <row r="446" spans="2:39">
      <c r="B446" s="122">
        <v>2149</v>
      </c>
      <c r="C446" s="132">
        <v>76922</v>
      </c>
      <c r="D446" s="122" t="s">
        <v>433</v>
      </c>
      <c r="E446" s="92" t="s">
        <v>1626</v>
      </c>
      <c r="F446" t="s">
        <v>987</v>
      </c>
      <c r="I446" s="122">
        <v>32</v>
      </c>
      <c r="J446" s="92"/>
      <c r="K446" s="122">
        <v>0</v>
      </c>
      <c r="L446" s="92" t="s">
        <v>986</v>
      </c>
      <c r="M446" s="92"/>
      <c r="N446" s="92" t="s">
        <v>646</v>
      </c>
      <c r="O446" s="92" t="s">
        <v>1789</v>
      </c>
      <c r="P446" s="92"/>
      <c r="Q446" s="92" t="s">
        <v>1792</v>
      </c>
      <c r="R446" s="92" t="s">
        <v>1791</v>
      </c>
      <c r="S446" s="133">
        <v>40360</v>
      </c>
      <c r="T446" s="133">
        <v>40360</v>
      </c>
      <c r="U446" s="92" t="s">
        <v>985</v>
      </c>
      <c r="V446" s="122">
        <v>1200</v>
      </c>
      <c r="W446" s="122">
        <v>14050</v>
      </c>
      <c r="X446" s="113">
        <v>15312.58</v>
      </c>
      <c r="Y446" s="122">
        <v>14056</v>
      </c>
      <c r="Z446" s="113">
        <v>15312.58</v>
      </c>
      <c r="AA446" s="113">
        <v>0</v>
      </c>
      <c r="AB446" s="113">
        <v>0</v>
      </c>
      <c r="AC446" s="122">
        <v>54260</v>
      </c>
      <c r="AD446" s="113">
        <v>0</v>
      </c>
      <c r="AE446" s="122" t="s">
        <v>433</v>
      </c>
      <c r="AF446" s="92"/>
      <c r="AG446" s="92"/>
      <c r="AH446" s="92" t="s">
        <v>2</v>
      </c>
      <c r="AI446" s="92" t="s">
        <v>1785</v>
      </c>
      <c r="AJ446" s="92" t="s">
        <v>1787</v>
      </c>
      <c r="AK446" s="92" t="s">
        <v>1779</v>
      </c>
      <c r="AL446" s="92">
        <v>0</v>
      </c>
      <c r="AM446" s="92">
        <v>0</v>
      </c>
    </row>
    <row r="447" spans="2:39">
      <c r="B447" s="122">
        <v>2149</v>
      </c>
      <c r="C447" s="132">
        <v>76011</v>
      </c>
      <c r="D447" s="122">
        <v>23895</v>
      </c>
      <c r="E447" s="92" t="s">
        <v>1626</v>
      </c>
      <c r="F447" t="s">
        <v>984</v>
      </c>
      <c r="I447" s="122">
        <v>1</v>
      </c>
      <c r="J447" s="92"/>
      <c r="K447" s="122">
        <v>0</v>
      </c>
      <c r="L447" s="92" t="s">
        <v>983</v>
      </c>
      <c r="M447" s="92"/>
      <c r="N447" s="92" t="s">
        <v>1788</v>
      </c>
      <c r="O447" s="92" t="s">
        <v>1789</v>
      </c>
      <c r="P447" s="92" t="s">
        <v>683</v>
      </c>
      <c r="Q447" s="92"/>
      <c r="R447" s="92"/>
      <c r="S447" s="133">
        <v>40334</v>
      </c>
      <c r="T447" s="133">
        <v>40334</v>
      </c>
      <c r="U447" s="92" t="s">
        <v>982</v>
      </c>
      <c r="V447" s="122">
        <v>300</v>
      </c>
      <c r="W447" s="122">
        <v>14040</v>
      </c>
      <c r="X447" s="113">
        <v>5125.25</v>
      </c>
      <c r="Y447" s="122">
        <v>14046</v>
      </c>
      <c r="Z447" s="113">
        <v>5125.25</v>
      </c>
      <c r="AA447" s="113">
        <v>0</v>
      </c>
      <c r="AB447" s="113">
        <v>0</v>
      </c>
      <c r="AC447" s="122">
        <v>51260</v>
      </c>
      <c r="AD447" s="113">
        <v>0</v>
      </c>
      <c r="AE447" s="122" t="s">
        <v>433</v>
      </c>
      <c r="AF447" s="92"/>
      <c r="AG447" s="92"/>
      <c r="AH447" s="92" t="s">
        <v>2</v>
      </c>
      <c r="AI447" s="92" t="s">
        <v>1785</v>
      </c>
      <c r="AJ447" s="92" t="s">
        <v>1787</v>
      </c>
      <c r="AK447" s="92" t="s">
        <v>1779</v>
      </c>
      <c r="AL447" s="92">
        <v>0</v>
      </c>
      <c r="AM447" s="92">
        <v>0</v>
      </c>
    </row>
    <row r="448" spans="2:39">
      <c r="B448" s="122">
        <v>2149</v>
      </c>
      <c r="C448" s="132">
        <v>75814</v>
      </c>
      <c r="D448" s="122" t="s">
        <v>433</v>
      </c>
      <c r="E448" s="92" t="s">
        <v>1626</v>
      </c>
      <c r="F448" t="s">
        <v>981</v>
      </c>
      <c r="I448" s="122">
        <v>1</v>
      </c>
      <c r="J448" s="92"/>
      <c r="K448" s="122">
        <v>0</v>
      </c>
      <c r="L448" s="92" t="s">
        <v>980</v>
      </c>
      <c r="M448" s="92"/>
      <c r="N448" s="92" t="s">
        <v>1801</v>
      </c>
      <c r="O448" s="92" t="s">
        <v>1789</v>
      </c>
      <c r="P448" s="92"/>
      <c r="Q448" s="92"/>
      <c r="R448" s="92"/>
      <c r="S448" s="133">
        <v>40298</v>
      </c>
      <c r="T448" s="133">
        <v>40298</v>
      </c>
      <c r="U448" s="92" t="s">
        <v>974</v>
      </c>
      <c r="V448" s="122">
        <v>500</v>
      </c>
      <c r="W448" s="122">
        <v>14070</v>
      </c>
      <c r="X448" s="113">
        <v>4000</v>
      </c>
      <c r="Y448" s="122">
        <v>14076</v>
      </c>
      <c r="Z448" s="113">
        <v>4000</v>
      </c>
      <c r="AA448" s="113">
        <v>0</v>
      </c>
      <c r="AB448" s="113">
        <v>0</v>
      </c>
      <c r="AC448" s="122">
        <v>51260</v>
      </c>
      <c r="AD448" s="113">
        <v>0</v>
      </c>
      <c r="AE448" s="122" t="s">
        <v>433</v>
      </c>
      <c r="AF448" s="92"/>
      <c r="AG448" s="92"/>
      <c r="AH448" s="92" t="s">
        <v>2</v>
      </c>
      <c r="AI448" s="92" t="s">
        <v>1785</v>
      </c>
      <c r="AJ448" s="92" t="s">
        <v>1787</v>
      </c>
      <c r="AK448" s="92" t="s">
        <v>1779</v>
      </c>
      <c r="AL448" s="92">
        <v>0</v>
      </c>
      <c r="AM448" s="92">
        <v>0</v>
      </c>
    </row>
    <row r="449" spans="2:39">
      <c r="B449" s="122">
        <v>2149</v>
      </c>
      <c r="C449" s="132">
        <v>75419</v>
      </c>
      <c r="D449" s="122" t="s">
        <v>433</v>
      </c>
      <c r="E449" s="92" t="s">
        <v>1626</v>
      </c>
      <c r="F449" t="s">
        <v>979</v>
      </c>
      <c r="I449" s="122">
        <v>1</v>
      </c>
      <c r="J449" s="92"/>
      <c r="K449" s="122">
        <v>0</v>
      </c>
      <c r="L449" s="92" t="s">
        <v>978</v>
      </c>
      <c r="M449" s="92"/>
      <c r="N449" s="92" t="s">
        <v>1798</v>
      </c>
      <c r="O449" s="92" t="s">
        <v>1789</v>
      </c>
      <c r="P449" s="92"/>
      <c r="Q449" s="92"/>
      <c r="R449" s="92"/>
      <c r="S449" s="133">
        <v>40344</v>
      </c>
      <c r="T449" s="133">
        <v>40344</v>
      </c>
      <c r="U449" s="92" t="s">
        <v>977</v>
      </c>
      <c r="V449" s="122">
        <v>300</v>
      </c>
      <c r="W449" s="122">
        <v>14110</v>
      </c>
      <c r="X449" s="113">
        <v>612.22</v>
      </c>
      <c r="Y449" s="122">
        <v>14116</v>
      </c>
      <c r="Z449" s="113">
        <v>612.22</v>
      </c>
      <c r="AA449" s="113">
        <v>0</v>
      </c>
      <c r="AB449" s="113">
        <v>0</v>
      </c>
      <c r="AC449" s="122">
        <v>70260</v>
      </c>
      <c r="AD449" s="113">
        <v>0</v>
      </c>
      <c r="AE449" s="122" t="s">
        <v>433</v>
      </c>
      <c r="AF449" s="92"/>
      <c r="AG449" s="92"/>
      <c r="AH449" s="92" t="s">
        <v>2</v>
      </c>
      <c r="AI449" s="92" t="s">
        <v>1785</v>
      </c>
      <c r="AJ449" s="92" t="s">
        <v>1787</v>
      </c>
      <c r="AK449" s="92" t="s">
        <v>1779</v>
      </c>
      <c r="AL449" s="92">
        <v>0</v>
      </c>
      <c r="AM449" s="92">
        <v>0</v>
      </c>
    </row>
    <row r="450" spans="2:39">
      <c r="B450" s="122">
        <v>2149</v>
      </c>
      <c r="C450" s="132">
        <v>73679</v>
      </c>
      <c r="D450" s="122" t="s">
        <v>433</v>
      </c>
      <c r="E450" s="92" t="s">
        <v>1626</v>
      </c>
      <c r="F450" t="s">
        <v>976</v>
      </c>
      <c r="I450" s="122">
        <v>1</v>
      </c>
      <c r="J450" s="92"/>
      <c r="K450" s="122">
        <v>0</v>
      </c>
      <c r="L450" s="92" t="s">
        <v>975</v>
      </c>
      <c r="M450" s="92"/>
      <c r="N450" s="92" t="s">
        <v>1801</v>
      </c>
      <c r="O450" s="92" t="s">
        <v>1789</v>
      </c>
      <c r="P450" s="92"/>
      <c r="Q450" s="92"/>
      <c r="R450" s="92"/>
      <c r="S450" s="133">
        <v>40268</v>
      </c>
      <c r="T450" s="133">
        <v>40268</v>
      </c>
      <c r="U450" s="92" t="s">
        <v>974</v>
      </c>
      <c r="V450" s="122">
        <v>500</v>
      </c>
      <c r="W450" s="122">
        <v>14070</v>
      </c>
      <c r="X450" s="113">
        <v>13073.72</v>
      </c>
      <c r="Y450" s="122">
        <v>14076</v>
      </c>
      <c r="Z450" s="113">
        <v>13073.72</v>
      </c>
      <c r="AA450" s="113">
        <v>0</v>
      </c>
      <c r="AB450" s="113">
        <v>0</v>
      </c>
      <c r="AC450" s="122">
        <v>51260</v>
      </c>
      <c r="AD450" s="113">
        <v>0</v>
      </c>
      <c r="AE450" s="122" t="s">
        <v>433</v>
      </c>
      <c r="AF450" s="92"/>
      <c r="AG450" s="92"/>
      <c r="AH450" s="92" t="s">
        <v>2</v>
      </c>
      <c r="AI450" s="92" t="s">
        <v>1785</v>
      </c>
      <c r="AJ450" s="92" t="s">
        <v>1787</v>
      </c>
      <c r="AK450" s="92" t="s">
        <v>1779</v>
      </c>
      <c r="AL450" s="92">
        <v>0</v>
      </c>
      <c r="AM450" s="92">
        <v>0</v>
      </c>
    </row>
    <row r="451" spans="2:39">
      <c r="B451" s="122">
        <v>2149</v>
      </c>
      <c r="C451" s="132">
        <v>72891</v>
      </c>
      <c r="D451" s="122" t="s">
        <v>433</v>
      </c>
      <c r="E451" s="92" t="s">
        <v>1626</v>
      </c>
      <c r="F451" t="s">
        <v>246</v>
      </c>
      <c r="I451" s="122">
        <v>1</v>
      </c>
      <c r="J451" s="92"/>
      <c r="K451" s="122">
        <v>0</v>
      </c>
      <c r="L451" s="92" t="s">
        <v>973</v>
      </c>
      <c r="M451" s="92"/>
      <c r="N451" s="92" t="s">
        <v>1798</v>
      </c>
      <c r="O451" s="92" t="s">
        <v>1789</v>
      </c>
      <c r="P451" s="92"/>
      <c r="Q451" s="92"/>
      <c r="R451" s="92"/>
      <c r="S451" s="133">
        <v>40179</v>
      </c>
      <c r="T451" s="133">
        <v>40179</v>
      </c>
      <c r="U451" s="92" t="s">
        <v>972</v>
      </c>
      <c r="V451" s="122">
        <v>211</v>
      </c>
      <c r="W451" s="122">
        <v>14110</v>
      </c>
      <c r="X451" s="113">
        <v>1565.27</v>
      </c>
      <c r="Y451" s="122">
        <v>14116</v>
      </c>
      <c r="Z451" s="113">
        <v>1565.27</v>
      </c>
      <c r="AA451" s="113">
        <v>0</v>
      </c>
      <c r="AB451" s="113">
        <v>0</v>
      </c>
      <c r="AC451" s="122">
        <v>70260</v>
      </c>
      <c r="AD451" s="113">
        <v>0</v>
      </c>
      <c r="AE451" s="122" t="s">
        <v>433</v>
      </c>
      <c r="AF451" s="92"/>
      <c r="AG451" s="92"/>
      <c r="AH451" s="92" t="s">
        <v>2</v>
      </c>
      <c r="AI451" s="92" t="s">
        <v>1785</v>
      </c>
      <c r="AJ451" s="92" t="s">
        <v>1787</v>
      </c>
      <c r="AK451" s="92" t="s">
        <v>1779</v>
      </c>
      <c r="AL451" s="92">
        <v>0</v>
      </c>
      <c r="AM451" s="92">
        <v>0</v>
      </c>
    </row>
    <row r="452" spans="2:39">
      <c r="B452" s="122">
        <v>2149</v>
      </c>
      <c r="C452" s="132">
        <v>72890</v>
      </c>
      <c r="D452" s="122" t="s">
        <v>433</v>
      </c>
      <c r="E452" s="92" t="s">
        <v>1626</v>
      </c>
      <c r="F452" t="s">
        <v>281</v>
      </c>
      <c r="I452" s="122">
        <v>1</v>
      </c>
      <c r="J452" s="92"/>
      <c r="K452" s="122">
        <v>0</v>
      </c>
      <c r="L452" s="92" t="s">
        <v>971</v>
      </c>
      <c r="M452" s="92"/>
      <c r="N452" s="92" t="s">
        <v>1812</v>
      </c>
      <c r="O452" s="92" t="s">
        <v>1789</v>
      </c>
      <c r="P452" s="92"/>
      <c r="Q452" s="92"/>
      <c r="R452" s="92"/>
      <c r="S452" s="133">
        <v>40179</v>
      </c>
      <c r="T452" s="133">
        <v>40179</v>
      </c>
      <c r="U452" s="92" t="s">
        <v>967</v>
      </c>
      <c r="V452" s="122">
        <v>911</v>
      </c>
      <c r="W452" s="122">
        <v>14100</v>
      </c>
      <c r="X452" s="113">
        <v>1470.45</v>
      </c>
      <c r="Y452" s="122">
        <v>14106</v>
      </c>
      <c r="Z452" s="113">
        <v>1470.45</v>
      </c>
      <c r="AA452" s="113">
        <v>0</v>
      </c>
      <c r="AB452" s="113">
        <v>0</v>
      </c>
      <c r="AC452" s="122">
        <v>70260</v>
      </c>
      <c r="AD452" s="113">
        <v>0</v>
      </c>
      <c r="AE452" s="122" t="s">
        <v>433</v>
      </c>
      <c r="AF452" s="92"/>
      <c r="AG452" s="92"/>
      <c r="AH452" s="92" t="s">
        <v>2</v>
      </c>
      <c r="AI452" s="92" t="s">
        <v>1785</v>
      </c>
      <c r="AJ452" s="92" t="s">
        <v>1787</v>
      </c>
      <c r="AK452" s="92" t="s">
        <v>1779</v>
      </c>
      <c r="AL452" s="92">
        <v>0</v>
      </c>
      <c r="AM452" s="92">
        <v>0</v>
      </c>
    </row>
    <row r="453" spans="2:39">
      <c r="B453" s="122">
        <v>2149</v>
      </c>
      <c r="C453" s="132">
        <v>72324</v>
      </c>
      <c r="D453" s="122">
        <v>71160</v>
      </c>
      <c r="E453" s="92" t="s">
        <v>1626</v>
      </c>
      <c r="F453" t="s">
        <v>970</v>
      </c>
      <c r="I453" s="122">
        <v>1</v>
      </c>
      <c r="J453" s="92" t="s">
        <v>603</v>
      </c>
      <c r="K453" s="122">
        <v>2010</v>
      </c>
      <c r="L453" s="92"/>
      <c r="M453" s="92"/>
      <c r="N453" s="92" t="s">
        <v>1788</v>
      </c>
      <c r="O453" s="92" t="s">
        <v>1789</v>
      </c>
      <c r="P453" s="92" t="s">
        <v>1802</v>
      </c>
      <c r="Q453" s="92"/>
      <c r="R453" s="92"/>
      <c r="S453" s="133">
        <v>40179</v>
      </c>
      <c r="T453" s="133">
        <v>40179</v>
      </c>
      <c r="U453" s="92" t="s">
        <v>961</v>
      </c>
      <c r="V453" s="122">
        <v>1000</v>
      </c>
      <c r="W453" s="122">
        <v>14040</v>
      </c>
      <c r="X453" s="113">
        <v>54317.87</v>
      </c>
      <c r="Y453" s="122">
        <v>14046</v>
      </c>
      <c r="Z453" s="113">
        <v>54317.87</v>
      </c>
      <c r="AA453" s="113">
        <v>0</v>
      </c>
      <c r="AB453" s="113">
        <v>0</v>
      </c>
      <c r="AC453" s="122">
        <v>51260</v>
      </c>
      <c r="AD453" s="113">
        <v>0</v>
      </c>
      <c r="AE453" s="122" t="s">
        <v>433</v>
      </c>
      <c r="AF453" s="92"/>
      <c r="AG453" s="92">
        <v>37</v>
      </c>
      <c r="AH453" s="92" t="s">
        <v>2</v>
      </c>
      <c r="AI453" s="92" t="s">
        <v>1785</v>
      </c>
      <c r="AJ453" s="92" t="s">
        <v>1787</v>
      </c>
      <c r="AK453" s="92" t="s">
        <v>1779</v>
      </c>
      <c r="AL453" s="92">
        <v>0</v>
      </c>
      <c r="AM453" s="92">
        <v>0</v>
      </c>
    </row>
    <row r="454" spans="2:39">
      <c r="B454" s="122">
        <v>2149</v>
      </c>
      <c r="C454" s="132">
        <v>71679</v>
      </c>
      <c r="D454" s="122" t="s">
        <v>433</v>
      </c>
      <c r="E454" s="92" t="s">
        <v>1626</v>
      </c>
      <c r="F454" t="s">
        <v>969</v>
      </c>
      <c r="I454" s="122">
        <v>1</v>
      </c>
      <c r="J454" s="92"/>
      <c r="K454" s="122">
        <v>0</v>
      </c>
      <c r="L454" s="92" t="s">
        <v>968</v>
      </c>
      <c r="M454" s="92"/>
      <c r="N454" s="92" t="s">
        <v>1812</v>
      </c>
      <c r="O454" s="92" t="s">
        <v>1789</v>
      </c>
      <c r="P454" s="92"/>
      <c r="Q454" s="92"/>
      <c r="R454" s="92"/>
      <c r="S454" s="133">
        <v>40162</v>
      </c>
      <c r="T454" s="133">
        <v>40162</v>
      </c>
      <c r="U454" s="92" t="s">
        <v>967</v>
      </c>
      <c r="V454" s="122">
        <v>1000</v>
      </c>
      <c r="W454" s="122">
        <v>14100</v>
      </c>
      <c r="X454" s="113">
        <v>5596.62</v>
      </c>
      <c r="Y454" s="122">
        <v>14106</v>
      </c>
      <c r="Z454" s="113">
        <v>5596.62</v>
      </c>
      <c r="AA454" s="113">
        <v>0</v>
      </c>
      <c r="AB454" s="113">
        <v>0</v>
      </c>
      <c r="AC454" s="122">
        <v>70260</v>
      </c>
      <c r="AD454" s="113">
        <v>0</v>
      </c>
      <c r="AE454" s="122" t="s">
        <v>433</v>
      </c>
      <c r="AF454" s="92"/>
      <c r="AG454" s="92"/>
      <c r="AH454" s="92" t="s">
        <v>2</v>
      </c>
      <c r="AI454" s="92" t="s">
        <v>1785</v>
      </c>
      <c r="AJ454" s="92" t="s">
        <v>1787</v>
      </c>
      <c r="AK454" s="92" t="s">
        <v>1779</v>
      </c>
      <c r="AL454" s="92">
        <v>0</v>
      </c>
      <c r="AM454" s="92">
        <v>0</v>
      </c>
    </row>
    <row r="455" spans="2:39">
      <c r="B455" s="122">
        <v>2149</v>
      </c>
      <c r="C455" s="132">
        <v>71313</v>
      </c>
      <c r="D455" s="122" t="s">
        <v>433</v>
      </c>
      <c r="E455" s="92" t="s">
        <v>1626</v>
      </c>
      <c r="F455" t="s">
        <v>966</v>
      </c>
      <c r="I455" s="122">
        <v>1</v>
      </c>
      <c r="J455" s="92"/>
      <c r="K455" s="122">
        <v>0</v>
      </c>
      <c r="L455" s="92" t="s">
        <v>798</v>
      </c>
      <c r="M455" s="92"/>
      <c r="N455" s="92" t="s">
        <v>646</v>
      </c>
      <c r="O455" s="92" t="s">
        <v>1789</v>
      </c>
      <c r="P455" s="92"/>
      <c r="Q455" s="92" t="s">
        <v>1796</v>
      </c>
      <c r="R455" s="92" t="s">
        <v>1794</v>
      </c>
      <c r="S455" s="133">
        <v>40168</v>
      </c>
      <c r="T455" s="133">
        <v>40168</v>
      </c>
      <c r="U455" s="92" t="s">
        <v>965</v>
      </c>
      <c r="V455" s="122">
        <v>1200</v>
      </c>
      <c r="W455" s="122">
        <v>14050</v>
      </c>
      <c r="X455" s="113">
        <v>5181</v>
      </c>
      <c r="Y455" s="122">
        <v>14056</v>
      </c>
      <c r="Z455" s="113">
        <v>5181</v>
      </c>
      <c r="AA455" s="113">
        <v>0</v>
      </c>
      <c r="AB455" s="113">
        <v>0</v>
      </c>
      <c r="AC455" s="122">
        <v>54260</v>
      </c>
      <c r="AD455" s="113">
        <v>0</v>
      </c>
      <c r="AE455" s="122" t="s">
        <v>433</v>
      </c>
      <c r="AF455" s="92"/>
      <c r="AG455" s="92"/>
      <c r="AH455" s="92" t="s">
        <v>2</v>
      </c>
      <c r="AI455" s="92" t="s">
        <v>1785</v>
      </c>
      <c r="AJ455" s="92" t="s">
        <v>1787</v>
      </c>
      <c r="AK455" s="92" t="s">
        <v>1779</v>
      </c>
      <c r="AL455" s="92">
        <v>0</v>
      </c>
      <c r="AM455" s="92">
        <v>0</v>
      </c>
    </row>
    <row r="456" spans="2:39">
      <c r="B456" s="122">
        <v>2149</v>
      </c>
      <c r="C456" s="132">
        <v>71278</v>
      </c>
      <c r="D456" s="122">
        <v>56939</v>
      </c>
      <c r="E456" s="92" t="s">
        <v>1626</v>
      </c>
      <c r="F456" t="s">
        <v>964</v>
      </c>
      <c r="I456" s="122">
        <v>1</v>
      </c>
      <c r="J456" s="92"/>
      <c r="K456" s="122">
        <v>0</v>
      </c>
      <c r="L456" s="92"/>
      <c r="M456" s="92"/>
      <c r="N456" s="92" t="s">
        <v>1788</v>
      </c>
      <c r="O456" s="92" t="s">
        <v>1789</v>
      </c>
      <c r="P456" s="92" t="s">
        <v>683</v>
      </c>
      <c r="Q456" s="92"/>
      <c r="R456" s="92"/>
      <c r="S456" s="133">
        <v>40176</v>
      </c>
      <c r="T456" s="133">
        <v>40176</v>
      </c>
      <c r="U456" s="92" t="s">
        <v>909</v>
      </c>
      <c r="V456" s="122">
        <v>300</v>
      </c>
      <c r="W456" s="122">
        <v>14040</v>
      </c>
      <c r="X456" s="113">
        <v>4484.13</v>
      </c>
      <c r="Y456" s="122">
        <v>14046</v>
      </c>
      <c r="Z456" s="113">
        <v>4484.13</v>
      </c>
      <c r="AA456" s="113">
        <v>0</v>
      </c>
      <c r="AB456" s="113">
        <v>0</v>
      </c>
      <c r="AC456" s="122">
        <v>51260</v>
      </c>
      <c r="AD456" s="113">
        <v>0</v>
      </c>
      <c r="AE456" s="122" t="s">
        <v>433</v>
      </c>
      <c r="AF456" s="92"/>
      <c r="AG456" s="92"/>
      <c r="AH456" s="92" t="s">
        <v>2</v>
      </c>
      <c r="AI456" s="92" t="s">
        <v>1785</v>
      </c>
      <c r="AJ456" s="92" t="s">
        <v>1787</v>
      </c>
      <c r="AK456" s="92" t="s">
        <v>1779</v>
      </c>
      <c r="AL456" s="92">
        <v>0</v>
      </c>
      <c r="AM456" s="92">
        <v>0</v>
      </c>
    </row>
    <row r="457" spans="2:39">
      <c r="B457" s="122">
        <v>2149</v>
      </c>
      <c r="C457" s="132">
        <v>71160</v>
      </c>
      <c r="D457" s="122" t="s">
        <v>433</v>
      </c>
      <c r="E457" s="92" t="s">
        <v>1626</v>
      </c>
      <c r="F457" t="s">
        <v>963</v>
      </c>
      <c r="I457" s="122">
        <v>1</v>
      </c>
      <c r="J457" s="92" t="s">
        <v>603</v>
      </c>
      <c r="K457" s="122">
        <v>2010</v>
      </c>
      <c r="L457" s="92" t="s">
        <v>962</v>
      </c>
      <c r="M457" s="92" t="s">
        <v>685</v>
      </c>
      <c r="N457" s="92" t="s">
        <v>1788</v>
      </c>
      <c r="O457" s="92" t="s">
        <v>1789</v>
      </c>
      <c r="P457" s="92" t="s">
        <v>1802</v>
      </c>
      <c r="Q457" s="92"/>
      <c r="R457" s="92"/>
      <c r="S457" s="133">
        <v>40178</v>
      </c>
      <c r="T457" s="133">
        <v>40178</v>
      </c>
      <c r="U457" s="92" t="s">
        <v>961</v>
      </c>
      <c r="V457" s="122">
        <v>1000</v>
      </c>
      <c r="W457" s="122">
        <v>14040</v>
      </c>
      <c r="X457" s="113">
        <v>127754.92</v>
      </c>
      <c r="Y457" s="122">
        <v>14046</v>
      </c>
      <c r="Z457" s="113">
        <v>127754.92</v>
      </c>
      <c r="AA457" s="113">
        <v>0</v>
      </c>
      <c r="AB457" s="113">
        <v>0</v>
      </c>
      <c r="AC457" s="122">
        <v>51260</v>
      </c>
      <c r="AD457" s="113">
        <v>0</v>
      </c>
      <c r="AE457" s="122" t="s">
        <v>433</v>
      </c>
      <c r="AF457" s="92"/>
      <c r="AG457" s="92">
        <v>37</v>
      </c>
      <c r="AH457" s="92" t="s">
        <v>2</v>
      </c>
      <c r="AI457" s="92" t="s">
        <v>1785</v>
      </c>
      <c r="AJ457" s="92" t="s">
        <v>1787</v>
      </c>
      <c r="AK457" s="92" t="s">
        <v>1779</v>
      </c>
      <c r="AL457" s="92">
        <v>0</v>
      </c>
      <c r="AM457" s="92">
        <v>0</v>
      </c>
    </row>
    <row r="458" spans="2:39">
      <c r="B458" s="122">
        <v>2149</v>
      </c>
      <c r="C458" s="132">
        <v>70548</v>
      </c>
      <c r="D458" s="122" t="s">
        <v>433</v>
      </c>
      <c r="E458" s="92" t="s">
        <v>1626</v>
      </c>
      <c r="F458" t="s">
        <v>960</v>
      </c>
      <c r="I458" s="122">
        <v>1</v>
      </c>
      <c r="J458" s="92"/>
      <c r="K458" s="122">
        <v>0</v>
      </c>
      <c r="L458" s="92" t="s">
        <v>959</v>
      </c>
      <c r="M458" s="92"/>
      <c r="N458" s="92" t="s">
        <v>1812</v>
      </c>
      <c r="O458" s="92" t="s">
        <v>1789</v>
      </c>
      <c r="P458" s="92"/>
      <c r="Q458" s="92"/>
      <c r="R458" s="92"/>
      <c r="S458" s="133">
        <v>40147</v>
      </c>
      <c r="T458" s="133">
        <v>40147</v>
      </c>
      <c r="U458" s="92" t="s">
        <v>958</v>
      </c>
      <c r="V458" s="122">
        <v>500</v>
      </c>
      <c r="W458" s="122">
        <v>14100</v>
      </c>
      <c r="X458" s="113">
        <v>6948.12</v>
      </c>
      <c r="Y458" s="122">
        <v>14106</v>
      </c>
      <c r="Z458" s="113">
        <v>6948.12</v>
      </c>
      <c r="AA458" s="113">
        <v>0</v>
      </c>
      <c r="AB458" s="113">
        <v>0</v>
      </c>
      <c r="AC458" s="122">
        <v>70260</v>
      </c>
      <c r="AD458" s="113">
        <v>0</v>
      </c>
      <c r="AE458" s="122" t="s">
        <v>433</v>
      </c>
      <c r="AF458" s="92"/>
      <c r="AG458" s="92"/>
      <c r="AH458" s="92" t="s">
        <v>2</v>
      </c>
      <c r="AI458" s="92" t="s">
        <v>1785</v>
      </c>
      <c r="AJ458" s="92" t="s">
        <v>1787</v>
      </c>
      <c r="AK458" s="92" t="s">
        <v>1779</v>
      </c>
      <c r="AL458" s="92">
        <v>0</v>
      </c>
      <c r="AM458" s="92">
        <v>0</v>
      </c>
    </row>
    <row r="459" spans="2:39">
      <c r="B459" s="122">
        <v>2149</v>
      </c>
      <c r="C459" s="132">
        <v>70331</v>
      </c>
      <c r="D459" s="122" t="s">
        <v>433</v>
      </c>
      <c r="E459" s="92" t="s">
        <v>1626</v>
      </c>
      <c r="F459" t="s">
        <v>957</v>
      </c>
      <c r="I459" s="122">
        <v>1</v>
      </c>
      <c r="J459" s="92" t="s">
        <v>601</v>
      </c>
      <c r="K459" s="122">
        <v>2009</v>
      </c>
      <c r="L459" s="92" t="s">
        <v>671</v>
      </c>
      <c r="M459" s="92" t="s">
        <v>956</v>
      </c>
      <c r="N459" s="92" t="s">
        <v>1788</v>
      </c>
      <c r="O459" s="92" t="s">
        <v>1789</v>
      </c>
      <c r="P459" s="92" t="s">
        <v>1809</v>
      </c>
      <c r="Q459" s="92"/>
      <c r="R459" s="92"/>
      <c r="S459" s="133">
        <v>40085</v>
      </c>
      <c r="T459" s="133">
        <v>40085</v>
      </c>
      <c r="U459" s="92" t="s">
        <v>955</v>
      </c>
      <c r="V459" s="122">
        <v>1000</v>
      </c>
      <c r="W459" s="122">
        <v>14040</v>
      </c>
      <c r="X459" s="113">
        <v>131742</v>
      </c>
      <c r="Y459" s="122">
        <v>14046</v>
      </c>
      <c r="Z459" s="113">
        <v>131742</v>
      </c>
      <c r="AA459" s="113">
        <v>0</v>
      </c>
      <c r="AB459" s="113">
        <v>0</v>
      </c>
      <c r="AC459" s="122">
        <v>51260</v>
      </c>
      <c r="AD459" s="113">
        <v>0</v>
      </c>
      <c r="AE459" s="122" t="s">
        <v>433</v>
      </c>
      <c r="AF459" s="92"/>
      <c r="AG459" s="92">
        <v>35</v>
      </c>
      <c r="AH459" s="92" t="s">
        <v>2</v>
      </c>
      <c r="AI459" s="92" t="s">
        <v>1785</v>
      </c>
      <c r="AJ459" s="92" t="s">
        <v>1787</v>
      </c>
      <c r="AK459" s="92" t="s">
        <v>1779</v>
      </c>
      <c r="AL459" s="92">
        <v>0</v>
      </c>
      <c r="AM459" s="92">
        <v>0</v>
      </c>
    </row>
    <row r="460" spans="2:39">
      <c r="B460" s="122">
        <v>2149</v>
      </c>
      <c r="C460" s="132">
        <v>70267</v>
      </c>
      <c r="D460" s="122" t="s">
        <v>433</v>
      </c>
      <c r="E460" s="92" t="s">
        <v>1626</v>
      </c>
      <c r="F460" t="s">
        <v>954</v>
      </c>
      <c r="I460" s="122">
        <v>1</v>
      </c>
      <c r="J460" s="92" t="s">
        <v>602</v>
      </c>
      <c r="K460" s="122">
        <v>2007</v>
      </c>
      <c r="L460" s="92" t="s">
        <v>434</v>
      </c>
      <c r="M460" s="92" t="s">
        <v>435</v>
      </c>
      <c r="N460" s="92" t="s">
        <v>1788</v>
      </c>
      <c r="O460" s="92" t="s">
        <v>1789</v>
      </c>
      <c r="P460" s="92" t="s">
        <v>1809</v>
      </c>
      <c r="Q460" s="92"/>
      <c r="R460" s="92"/>
      <c r="S460" s="133">
        <v>40147</v>
      </c>
      <c r="T460" s="133">
        <v>40147</v>
      </c>
      <c r="U460" s="92" t="s">
        <v>953</v>
      </c>
      <c r="V460" s="122">
        <v>1000</v>
      </c>
      <c r="W460" s="122">
        <v>14040</v>
      </c>
      <c r="X460" s="113">
        <v>135051.04999999999</v>
      </c>
      <c r="Y460" s="122">
        <v>14046</v>
      </c>
      <c r="Z460" s="113">
        <v>135051.04999999999</v>
      </c>
      <c r="AA460" s="113">
        <v>0</v>
      </c>
      <c r="AB460" s="113">
        <v>0</v>
      </c>
      <c r="AC460" s="122">
        <v>51260</v>
      </c>
      <c r="AD460" s="113">
        <v>0</v>
      </c>
      <c r="AE460" s="122" t="s">
        <v>433</v>
      </c>
      <c r="AF460" s="92"/>
      <c r="AG460" s="92">
        <v>36</v>
      </c>
      <c r="AH460" s="92" t="s">
        <v>2</v>
      </c>
      <c r="AI460" s="92" t="s">
        <v>1785</v>
      </c>
      <c r="AJ460" s="92" t="s">
        <v>1787</v>
      </c>
      <c r="AK460" s="92" t="s">
        <v>1779</v>
      </c>
      <c r="AL460" s="92">
        <v>0</v>
      </c>
      <c r="AM460" s="92">
        <v>0</v>
      </c>
    </row>
    <row r="461" spans="2:39">
      <c r="B461" s="122">
        <v>2149</v>
      </c>
      <c r="C461" s="132">
        <v>69975</v>
      </c>
      <c r="D461" s="122">
        <v>67080</v>
      </c>
      <c r="E461" s="92" t="s">
        <v>1626</v>
      </c>
      <c r="F461" t="s">
        <v>952</v>
      </c>
      <c r="I461" s="122">
        <v>1</v>
      </c>
      <c r="J461" s="92" t="s">
        <v>598</v>
      </c>
      <c r="K461" s="122">
        <v>2009</v>
      </c>
      <c r="L461" s="92"/>
      <c r="M461" s="92"/>
      <c r="N461" s="92" t="s">
        <v>1788</v>
      </c>
      <c r="O461" s="92" t="s">
        <v>1789</v>
      </c>
      <c r="P461" s="92" t="s">
        <v>1814</v>
      </c>
      <c r="Q461" s="92"/>
      <c r="R461" s="92"/>
      <c r="S461" s="133">
        <v>40042</v>
      </c>
      <c r="T461" s="133">
        <v>40042</v>
      </c>
      <c r="U461" s="92" t="s">
        <v>926</v>
      </c>
      <c r="V461" s="122">
        <v>1000</v>
      </c>
      <c r="W461" s="122">
        <v>14040</v>
      </c>
      <c r="X461" s="113">
        <v>3114.01</v>
      </c>
      <c r="Y461" s="122">
        <v>14046</v>
      </c>
      <c r="Z461" s="113">
        <v>3114.01</v>
      </c>
      <c r="AA461" s="113">
        <v>0</v>
      </c>
      <c r="AB461" s="113">
        <v>0</v>
      </c>
      <c r="AC461" s="122">
        <v>51260</v>
      </c>
      <c r="AD461" s="113">
        <v>0</v>
      </c>
      <c r="AE461" s="122" t="s">
        <v>433</v>
      </c>
      <c r="AF461" s="92"/>
      <c r="AG461" s="92"/>
      <c r="AH461" s="92" t="s">
        <v>2</v>
      </c>
      <c r="AI461" s="92" t="s">
        <v>1785</v>
      </c>
      <c r="AJ461" s="92" t="s">
        <v>1787</v>
      </c>
      <c r="AK461" s="92" t="s">
        <v>1779</v>
      </c>
      <c r="AL461" s="92">
        <v>0</v>
      </c>
      <c r="AM461" s="92">
        <v>0</v>
      </c>
    </row>
    <row r="462" spans="2:39">
      <c r="B462" s="122">
        <v>2149</v>
      </c>
      <c r="C462" s="132">
        <v>69974</v>
      </c>
      <c r="D462" s="122">
        <v>67079</v>
      </c>
      <c r="E462" s="92" t="s">
        <v>1626</v>
      </c>
      <c r="F462" t="s">
        <v>951</v>
      </c>
      <c r="I462" s="122">
        <v>1</v>
      </c>
      <c r="J462" s="92" t="s">
        <v>599</v>
      </c>
      <c r="K462" s="122">
        <v>2009</v>
      </c>
      <c r="L462" s="92"/>
      <c r="M462" s="92"/>
      <c r="N462" s="92" t="s">
        <v>1788</v>
      </c>
      <c r="O462" s="92" t="s">
        <v>1789</v>
      </c>
      <c r="P462" s="92" t="s">
        <v>1814</v>
      </c>
      <c r="Q462" s="92"/>
      <c r="R462" s="92"/>
      <c r="S462" s="133">
        <v>40042</v>
      </c>
      <c r="T462" s="133">
        <v>40042</v>
      </c>
      <c r="U462" s="92" t="s">
        <v>928</v>
      </c>
      <c r="V462" s="122">
        <v>1000</v>
      </c>
      <c r="W462" s="122">
        <v>14040</v>
      </c>
      <c r="X462" s="113">
        <v>3114.02</v>
      </c>
      <c r="Y462" s="122">
        <v>14046</v>
      </c>
      <c r="Z462" s="113">
        <v>3114.02</v>
      </c>
      <c r="AA462" s="113">
        <v>0</v>
      </c>
      <c r="AB462" s="113">
        <v>0</v>
      </c>
      <c r="AC462" s="122">
        <v>51260</v>
      </c>
      <c r="AD462" s="113">
        <v>0</v>
      </c>
      <c r="AE462" s="122" t="s">
        <v>433</v>
      </c>
      <c r="AF462" s="92"/>
      <c r="AG462" s="92"/>
      <c r="AH462" s="92" t="s">
        <v>2</v>
      </c>
      <c r="AI462" s="92" t="s">
        <v>1785</v>
      </c>
      <c r="AJ462" s="92" t="s">
        <v>1787</v>
      </c>
      <c r="AK462" s="92" t="s">
        <v>1779</v>
      </c>
      <c r="AL462" s="92">
        <v>0</v>
      </c>
      <c r="AM462" s="92">
        <v>0</v>
      </c>
    </row>
    <row r="463" spans="2:39">
      <c r="B463" s="122">
        <v>2149</v>
      </c>
      <c r="C463" s="132">
        <v>69100</v>
      </c>
      <c r="D463" s="122">
        <v>70331</v>
      </c>
      <c r="E463" s="92" t="s">
        <v>1626</v>
      </c>
      <c r="F463" t="s">
        <v>950</v>
      </c>
      <c r="I463" s="122">
        <v>1</v>
      </c>
      <c r="J463" s="92" t="s">
        <v>949</v>
      </c>
      <c r="K463" s="122">
        <v>2009</v>
      </c>
      <c r="L463" s="92"/>
      <c r="M463" s="92"/>
      <c r="N463" s="92" t="s">
        <v>1788</v>
      </c>
      <c r="O463" s="92" t="s">
        <v>1789</v>
      </c>
      <c r="P463" s="92" t="s">
        <v>1809</v>
      </c>
      <c r="Q463" s="92"/>
      <c r="R463" s="92"/>
      <c r="S463" s="133">
        <v>40084</v>
      </c>
      <c r="T463" s="133">
        <v>40084</v>
      </c>
      <c r="U463" s="92" t="s">
        <v>948</v>
      </c>
      <c r="V463" s="122">
        <v>900</v>
      </c>
      <c r="W463" s="122">
        <v>14040</v>
      </c>
      <c r="X463" s="113">
        <v>11461.55</v>
      </c>
      <c r="Y463" s="122">
        <v>14046</v>
      </c>
      <c r="Z463" s="113">
        <v>11461.55</v>
      </c>
      <c r="AA463" s="113">
        <v>0</v>
      </c>
      <c r="AB463" s="113">
        <v>0</v>
      </c>
      <c r="AC463" s="122">
        <v>51260</v>
      </c>
      <c r="AD463" s="113">
        <v>0</v>
      </c>
      <c r="AE463" s="122" t="s">
        <v>433</v>
      </c>
      <c r="AF463" s="92"/>
      <c r="AG463" s="92"/>
      <c r="AH463" s="92" t="s">
        <v>2</v>
      </c>
      <c r="AI463" s="92" t="s">
        <v>1785</v>
      </c>
      <c r="AJ463" s="92" t="s">
        <v>1787</v>
      </c>
      <c r="AK463" s="92" t="s">
        <v>1779</v>
      </c>
      <c r="AL463" s="92">
        <v>0</v>
      </c>
      <c r="AM463" s="92">
        <v>0</v>
      </c>
    </row>
    <row r="464" spans="2:39">
      <c r="B464" s="122">
        <v>2149</v>
      </c>
      <c r="C464" s="132">
        <v>68911</v>
      </c>
      <c r="D464" s="122">
        <v>68552</v>
      </c>
      <c r="E464" s="92" t="s">
        <v>1626</v>
      </c>
      <c r="F464" t="s">
        <v>947</v>
      </c>
      <c r="I464" s="122">
        <v>1</v>
      </c>
      <c r="J464" s="92" t="s">
        <v>615</v>
      </c>
      <c r="K464" s="122">
        <v>2010</v>
      </c>
      <c r="L464" s="92"/>
      <c r="M464" s="92"/>
      <c r="N464" s="92" t="s">
        <v>1788</v>
      </c>
      <c r="O464" s="92" t="s">
        <v>1789</v>
      </c>
      <c r="P464" s="92" t="s">
        <v>939</v>
      </c>
      <c r="Q464" s="92"/>
      <c r="R464" s="92"/>
      <c r="S464" s="133">
        <v>40071</v>
      </c>
      <c r="T464" s="133">
        <v>40071</v>
      </c>
      <c r="U464" s="92" t="s">
        <v>938</v>
      </c>
      <c r="V464" s="122">
        <v>700</v>
      </c>
      <c r="W464" s="122">
        <v>14040</v>
      </c>
      <c r="X464" s="113">
        <v>67806.070000000007</v>
      </c>
      <c r="Y464" s="122">
        <v>14046</v>
      </c>
      <c r="Z464" s="113">
        <v>67806.070000000007</v>
      </c>
      <c r="AA464" s="113">
        <v>0</v>
      </c>
      <c r="AB464" s="113">
        <v>0</v>
      </c>
      <c r="AC464" s="122">
        <v>51260</v>
      </c>
      <c r="AD464" s="113">
        <v>0</v>
      </c>
      <c r="AE464" s="122" t="s">
        <v>433</v>
      </c>
      <c r="AF464" s="92"/>
      <c r="AG464" s="92">
        <v>8010</v>
      </c>
      <c r="AH464" s="92" t="s">
        <v>2</v>
      </c>
      <c r="AI464" s="92" t="s">
        <v>1785</v>
      </c>
      <c r="AJ464" s="92" t="s">
        <v>1787</v>
      </c>
      <c r="AK464" s="92" t="s">
        <v>1779</v>
      </c>
      <c r="AL464" s="92">
        <v>0</v>
      </c>
      <c r="AM464" s="92">
        <v>0</v>
      </c>
    </row>
    <row r="465" spans="2:39">
      <c r="B465" s="122">
        <v>2149</v>
      </c>
      <c r="C465" s="132">
        <v>68726</v>
      </c>
      <c r="D465" s="122">
        <v>68725</v>
      </c>
      <c r="E465" s="92" t="s">
        <v>1626</v>
      </c>
      <c r="F465" t="s">
        <v>946</v>
      </c>
      <c r="I465" s="122">
        <v>1</v>
      </c>
      <c r="J465" s="92"/>
      <c r="K465" s="122">
        <v>0</v>
      </c>
      <c r="L465" s="92" t="s">
        <v>945</v>
      </c>
      <c r="M465" s="92"/>
      <c r="N465" s="92" t="s">
        <v>646</v>
      </c>
      <c r="O465" s="92" t="s">
        <v>1789</v>
      </c>
      <c r="P465" s="92"/>
      <c r="Q465" s="92"/>
      <c r="R465" s="92"/>
      <c r="S465" s="133">
        <v>40040</v>
      </c>
      <c r="T465" s="133">
        <v>40040</v>
      </c>
      <c r="U465" s="92" t="s">
        <v>944</v>
      </c>
      <c r="V465" s="122">
        <v>700</v>
      </c>
      <c r="W465" s="122">
        <v>14050</v>
      </c>
      <c r="X465" s="113">
        <v>14621.48</v>
      </c>
      <c r="Y465" s="122">
        <v>14056</v>
      </c>
      <c r="Z465" s="113">
        <v>14621.48</v>
      </c>
      <c r="AA465" s="113">
        <v>0</v>
      </c>
      <c r="AB465" s="113">
        <v>0</v>
      </c>
      <c r="AC465" s="122">
        <v>54260</v>
      </c>
      <c r="AD465" s="113">
        <v>0</v>
      </c>
      <c r="AE465" s="122" t="s">
        <v>433</v>
      </c>
      <c r="AF465" s="92"/>
      <c r="AG465" s="92"/>
      <c r="AH465" s="92" t="s">
        <v>2</v>
      </c>
      <c r="AI465" s="92" t="s">
        <v>1785</v>
      </c>
      <c r="AJ465" s="92" t="s">
        <v>1787</v>
      </c>
      <c r="AK465" s="92" t="s">
        <v>1779</v>
      </c>
      <c r="AL465" s="92">
        <v>0</v>
      </c>
      <c r="AM465" s="92">
        <v>0</v>
      </c>
    </row>
    <row r="466" spans="2:39">
      <c r="B466" s="122">
        <v>2149</v>
      </c>
      <c r="C466" s="132">
        <v>68725</v>
      </c>
      <c r="D466" s="122" t="s">
        <v>433</v>
      </c>
      <c r="E466" s="92" t="s">
        <v>1626</v>
      </c>
      <c r="F466" t="s">
        <v>946</v>
      </c>
      <c r="I466" s="122">
        <v>1</v>
      </c>
      <c r="J466" s="92"/>
      <c r="K466" s="122">
        <v>0</v>
      </c>
      <c r="L466" s="92" t="s">
        <v>945</v>
      </c>
      <c r="M466" s="92"/>
      <c r="N466" s="92" t="s">
        <v>646</v>
      </c>
      <c r="O466" s="92" t="s">
        <v>1789</v>
      </c>
      <c r="P466" s="92"/>
      <c r="Q466" s="92"/>
      <c r="R466" s="92"/>
      <c r="S466" s="133">
        <v>40040</v>
      </c>
      <c r="T466" s="133">
        <v>40040</v>
      </c>
      <c r="U466" s="92" t="s">
        <v>944</v>
      </c>
      <c r="V466" s="122">
        <v>700</v>
      </c>
      <c r="W466" s="122">
        <v>14050</v>
      </c>
      <c r="X466" s="113">
        <v>13804</v>
      </c>
      <c r="Y466" s="122">
        <v>14056</v>
      </c>
      <c r="Z466" s="113">
        <v>13804</v>
      </c>
      <c r="AA466" s="113">
        <v>0</v>
      </c>
      <c r="AB466" s="113">
        <v>0</v>
      </c>
      <c r="AC466" s="122">
        <v>54260</v>
      </c>
      <c r="AD466" s="113">
        <v>0</v>
      </c>
      <c r="AE466" s="122" t="s">
        <v>433</v>
      </c>
      <c r="AF466" s="92"/>
      <c r="AG466" s="92"/>
      <c r="AH466" s="92" t="s">
        <v>2</v>
      </c>
      <c r="AI466" s="92" t="s">
        <v>1785</v>
      </c>
      <c r="AJ466" s="92" t="s">
        <v>1787</v>
      </c>
      <c r="AK466" s="92" t="s">
        <v>1779</v>
      </c>
      <c r="AL466" s="92">
        <v>0</v>
      </c>
      <c r="AM466" s="92">
        <v>0</v>
      </c>
    </row>
    <row r="467" spans="2:39">
      <c r="B467" s="122">
        <v>2149</v>
      </c>
      <c r="C467" s="132">
        <v>68719</v>
      </c>
      <c r="D467" s="122">
        <v>67080</v>
      </c>
      <c r="E467" s="92" t="s">
        <v>1626</v>
      </c>
      <c r="F467" t="s">
        <v>943</v>
      </c>
      <c r="I467" s="122">
        <v>1</v>
      </c>
      <c r="J467" s="92">
        <v>719770</v>
      </c>
      <c r="K467" s="122">
        <v>2009</v>
      </c>
      <c r="L467" s="92"/>
      <c r="M467" s="92"/>
      <c r="N467" s="92" t="s">
        <v>1788</v>
      </c>
      <c r="O467" s="92" t="s">
        <v>1789</v>
      </c>
      <c r="P467" s="92" t="s">
        <v>1814</v>
      </c>
      <c r="Q467" s="92"/>
      <c r="R467" s="92"/>
      <c r="S467" s="133">
        <v>40042</v>
      </c>
      <c r="T467" s="133">
        <v>40042</v>
      </c>
      <c r="U467" s="92" t="s">
        <v>926</v>
      </c>
      <c r="V467" s="122">
        <v>1000</v>
      </c>
      <c r="W467" s="122">
        <v>14040</v>
      </c>
      <c r="X467" s="113">
        <v>1939.28</v>
      </c>
      <c r="Y467" s="122">
        <v>14046</v>
      </c>
      <c r="Z467" s="113">
        <v>1939.28</v>
      </c>
      <c r="AA467" s="113">
        <v>0</v>
      </c>
      <c r="AB467" s="113">
        <v>0</v>
      </c>
      <c r="AC467" s="122">
        <v>51260</v>
      </c>
      <c r="AD467" s="113">
        <v>0</v>
      </c>
      <c r="AE467" s="122" t="s">
        <v>433</v>
      </c>
      <c r="AF467" s="92"/>
      <c r="AG467" s="92">
        <v>28</v>
      </c>
      <c r="AH467" s="92" t="s">
        <v>2</v>
      </c>
      <c r="AI467" s="92" t="s">
        <v>1785</v>
      </c>
      <c r="AJ467" s="92" t="s">
        <v>1787</v>
      </c>
      <c r="AK467" s="92" t="s">
        <v>1779</v>
      </c>
      <c r="AL467" s="92">
        <v>0</v>
      </c>
      <c r="AM467" s="92">
        <v>0</v>
      </c>
    </row>
    <row r="468" spans="2:39">
      <c r="B468" s="122">
        <v>2149</v>
      </c>
      <c r="C468" s="132">
        <v>68718</v>
      </c>
      <c r="D468" s="122">
        <v>67080</v>
      </c>
      <c r="E468" s="92" t="s">
        <v>1626</v>
      </c>
      <c r="F468" t="s">
        <v>942</v>
      </c>
      <c r="I468" s="122">
        <v>1</v>
      </c>
      <c r="J468" s="92">
        <v>719770</v>
      </c>
      <c r="K468" s="122">
        <v>2009</v>
      </c>
      <c r="L468" s="92"/>
      <c r="M468" s="92"/>
      <c r="N468" s="92" t="s">
        <v>1788</v>
      </c>
      <c r="O468" s="92" t="s">
        <v>1789</v>
      </c>
      <c r="P468" s="92" t="s">
        <v>683</v>
      </c>
      <c r="Q468" s="92"/>
      <c r="R468" s="92"/>
      <c r="S468" s="133">
        <v>40042</v>
      </c>
      <c r="T468" s="133">
        <v>40042</v>
      </c>
      <c r="U468" s="92" t="s">
        <v>926</v>
      </c>
      <c r="V468" s="122">
        <v>1000</v>
      </c>
      <c r="W468" s="122">
        <v>14040</v>
      </c>
      <c r="X468" s="113">
        <v>1924.11</v>
      </c>
      <c r="Y468" s="122">
        <v>14046</v>
      </c>
      <c r="Z468" s="113">
        <v>1924.11</v>
      </c>
      <c r="AA468" s="113">
        <v>0</v>
      </c>
      <c r="AB468" s="113">
        <v>0</v>
      </c>
      <c r="AC468" s="122">
        <v>51260</v>
      </c>
      <c r="AD468" s="113">
        <v>0</v>
      </c>
      <c r="AE468" s="122" t="s">
        <v>433</v>
      </c>
      <c r="AF468" s="92"/>
      <c r="AG468" s="92">
        <v>28</v>
      </c>
      <c r="AH468" s="92" t="s">
        <v>2</v>
      </c>
      <c r="AI468" s="92" t="s">
        <v>1785</v>
      </c>
      <c r="AJ468" s="92" t="s">
        <v>1787</v>
      </c>
      <c r="AK468" s="92" t="s">
        <v>1779</v>
      </c>
      <c r="AL468" s="92">
        <v>0</v>
      </c>
      <c r="AM468" s="92">
        <v>0</v>
      </c>
    </row>
    <row r="469" spans="2:39">
      <c r="B469" s="122">
        <v>2149</v>
      </c>
      <c r="C469" s="132">
        <v>68552</v>
      </c>
      <c r="D469" s="122" t="s">
        <v>433</v>
      </c>
      <c r="E469" s="92" t="s">
        <v>1626</v>
      </c>
      <c r="F469" t="s">
        <v>941</v>
      </c>
      <c r="I469" s="122">
        <v>1</v>
      </c>
      <c r="J469" s="92" t="s">
        <v>615</v>
      </c>
      <c r="K469" s="122">
        <v>2010</v>
      </c>
      <c r="L469" s="92" t="s">
        <v>940</v>
      </c>
      <c r="M469" s="92" t="s">
        <v>939</v>
      </c>
      <c r="N469" s="92" t="s">
        <v>1788</v>
      </c>
      <c r="O469" s="92" t="s">
        <v>1789</v>
      </c>
      <c r="P469" s="92" t="s">
        <v>939</v>
      </c>
      <c r="Q469" s="92"/>
      <c r="R469" s="92"/>
      <c r="S469" s="133">
        <v>40071</v>
      </c>
      <c r="T469" s="133">
        <v>40071</v>
      </c>
      <c r="U469" s="92" t="s">
        <v>938</v>
      </c>
      <c r="V469" s="122">
        <v>700</v>
      </c>
      <c r="W469" s="122">
        <v>14040</v>
      </c>
      <c r="X469" s="113">
        <v>4747.93</v>
      </c>
      <c r="Y469" s="122">
        <v>14046</v>
      </c>
      <c r="Z469" s="113">
        <v>4747.93</v>
      </c>
      <c r="AA469" s="113">
        <v>0</v>
      </c>
      <c r="AB469" s="113">
        <v>0</v>
      </c>
      <c r="AC469" s="122">
        <v>51260</v>
      </c>
      <c r="AD469" s="113">
        <v>0</v>
      </c>
      <c r="AE469" s="122" t="s">
        <v>433</v>
      </c>
      <c r="AF469" s="92"/>
      <c r="AG469" s="92">
        <v>8010</v>
      </c>
      <c r="AH469" s="92" t="s">
        <v>2</v>
      </c>
      <c r="AI469" s="92" t="s">
        <v>1785</v>
      </c>
      <c r="AJ469" s="92" t="s">
        <v>1787</v>
      </c>
      <c r="AK469" s="92" t="s">
        <v>1779</v>
      </c>
      <c r="AL469" s="92">
        <v>0</v>
      </c>
      <c r="AM469" s="92">
        <v>0</v>
      </c>
    </row>
    <row r="470" spans="2:39">
      <c r="B470" s="122">
        <v>2149</v>
      </c>
      <c r="C470" s="132">
        <v>68229</v>
      </c>
      <c r="D470" s="122" t="s">
        <v>433</v>
      </c>
      <c r="E470" s="92" t="s">
        <v>1626</v>
      </c>
      <c r="F470" t="s">
        <v>937</v>
      </c>
      <c r="I470" s="122">
        <v>1</v>
      </c>
      <c r="J470" s="92"/>
      <c r="K470" s="122">
        <v>0</v>
      </c>
      <c r="L470" s="92" t="s">
        <v>936</v>
      </c>
      <c r="M470" s="92"/>
      <c r="N470" s="92" t="s">
        <v>1798</v>
      </c>
      <c r="O470" s="92" t="s">
        <v>1789</v>
      </c>
      <c r="P470" s="92"/>
      <c r="Q470" s="92"/>
      <c r="R470" s="92"/>
      <c r="S470" s="133">
        <v>40065</v>
      </c>
      <c r="T470" s="133">
        <v>40065</v>
      </c>
      <c r="U470" s="92" t="s">
        <v>935</v>
      </c>
      <c r="V470" s="122">
        <v>300</v>
      </c>
      <c r="W470" s="122">
        <v>14110</v>
      </c>
      <c r="X470" s="113">
        <v>875</v>
      </c>
      <c r="Y470" s="122">
        <v>14116</v>
      </c>
      <c r="Z470" s="113">
        <v>875</v>
      </c>
      <c r="AA470" s="113">
        <v>0</v>
      </c>
      <c r="AB470" s="113">
        <v>0</v>
      </c>
      <c r="AC470" s="122">
        <v>70260</v>
      </c>
      <c r="AD470" s="113">
        <v>0</v>
      </c>
      <c r="AE470" s="122" t="s">
        <v>433</v>
      </c>
      <c r="AF470" s="92"/>
      <c r="AG470" s="92"/>
      <c r="AH470" s="92" t="s">
        <v>2</v>
      </c>
      <c r="AI470" s="92" t="s">
        <v>1785</v>
      </c>
      <c r="AJ470" s="92" t="s">
        <v>1787</v>
      </c>
      <c r="AK470" s="92" t="s">
        <v>1779</v>
      </c>
      <c r="AL470" s="92">
        <v>0</v>
      </c>
      <c r="AM470" s="92">
        <v>0</v>
      </c>
    </row>
    <row r="471" spans="2:39">
      <c r="B471" s="122">
        <v>2149</v>
      </c>
      <c r="C471" s="132">
        <v>67267</v>
      </c>
      <c r="D471" s="122">
        <v>67226</v>
      </c>
      <c r="E471" s="92" t="s">
        <v>1626</v>
      </c>
      <c r="F471" t="s">
        <v>932</v>
      </c>
      <c r="I471" s="122">
        <v>1</v>
      </c>
      <c r="J471" s="92"/>
      <c r="K471" s="122">
        <v>0</v>
      </c>
      <c r="L471" s="92" t="s">
        <v>934</v>
      </c>
      <c r="M471" s="92"/>
      <c r="N471" s="92" t="s">
        <v>1800</v>
      </c>
      <c r="O471" s="92" t="s">
        <v>1800</v>
      </c>
      <c r="P471" s="92"/>
      <c r="Q471" s="92"/>
      <c r="R471" s="92"/>
      <c r="S471" s="133">
        <v>40042</v>
      </c>
      <c r="T471" s="133">
        <v>40042</v>
      </c>
      <c r="U471" s="92" t="s">
        <v>930</v>
      </c>
      <c r="V471" s="122">
        <v>1000</v>
      </c>
      <c r="W471" s="122">
        <v>14090</v>
      </c>
      <c r="X471" s="113">
        <v>572.36</v>
      </c>
      <c r="Y471" s="122">
        <v>14096</v>
      </c>
      <c r="Z471" s="113">
        <v>572.36</v>
      </c>
      <c r="AA471" s="113">
        <v>0</v>
      </c>
      <c r="AB471" s="113">
        <v>0</v>
      </c>
      <c r="AC471" s="122">
        <v>57260</v>
      </c>
      <c r="AD471" s="113">
        <v>0</v>
      </c>
      <c r="AE471" s="122" t="s">
        <v>433</v>
      </c>
      <c r="AF471" s="92"/>
      <c r="AG471" s="92"/>
      <c r="AH471" s="92" t="s">
        <v>2</v>
      </c>
      <c r="AI471" s="92" t="s">
        <v>1785</v>
      </c>
      <c r="AJ471" s="92" t="s">
        <v>1787</v>
      </c>
      <c r="AK471" s="92" t="s">
        <v>1779</v>
      </c>
      <c r="AL471" s="92">
        <v>0</v>
      </c>
      <c r="AM471" s="92">
        <v>0</v>
      </c>
    </row>
    <row r="472" spans="2:39">
      <c r="B472" s="122">
        <v>2149</v>
      </c>
      <c r="C472" s="132">
        <v>67227</v>
      </c>
      <c r="D472" s="122">
        <v>67226</v>
      </c>
      <c r="E472" s="92" t="s">
        <v>1626</v>
      </c>
      <c r="F472" t="s">
        <v>932</v>
      </c>
      <c r="I472" s="122">
        <v>1</v>
      </c>
      <c r="J472" s="92"/>
      <c r="K472" s="122">
        <v>0</v>
      </c>
      <c r="L472" s="92" t="s">
        <v>933</v>
      </c>
      <c r="M472" s="92"/>
      <c r="N472" s="92" t="s">
        <v>1800</v>
      </c>
      <c r="O472" s="92" t="s">
        <v>1800</v>
      </c>
      <c r="P472" s="92"/>
      <c r="Q472" s="92"/>
      <c r="R472" s="92"/>
      <c r="S472" s="133">
        <v>40042</v>
      </c>
      <c r="T472" s="133">
        <v>40042</v>
      </c>
      <c r="U472" s="92" t="s">
        <v>930</v>
      </c>
      <c r="V472" s="122">
        <v>1000</v>
      </c>
      <c r="W472" s="122">
        <v>14090</v>
      </c>
      <c r="X472" s="113">
        <v>588.4</v>
      </c>
      <c r="Y472" s="122">
        <v>14096</v>
      </c>
      <c r="Z472" s="113">
        <v>588.4</v>
      </c>
      <c r="AA472" s="113">
        <v>0</v>
      </c>
      <c r="AB472" s="113">
        <v>0</v>
      </c>
      <c r="AC472" s="122">
        <v>57260</v>
      </c>
      <c r="AD472" s="113">
        <v>0</v>
      </c>
      <c r="AE472" s="122" t="s">
        <v>433</v>
      </c>
      <c r="AF472" s="92"/>
      <c r="AG472" s="92"/>
      <c r="AH472" s="92" t="s">
        <v>2</v>
      </c>
      <c r="AI472" s="92" t="s">
        <v>1785</v>
      </c>
      <c r="AJ472" s="92" t="s">
        <v>1787</v>
      </c>
      <c r="AK472" s="92" t="s">
        <v>1779</v>
      </c>
      <c r="AL472" s="92">
        <v>0</v>
      </c>
      <c r="AM472" s="92">
        <v>0</v>
      </c>
    </row>
    <row r="473" spans="2:39">
      <c r="B473" s="122">
        <v>2149</v>
      </c>
      <c r="C473" s="132">
        <v>67226</v>
      </c>
      <c r="D473" s="122" t="s">
        <v>433</v>
      </c>
      <c r="E473" s="92" t="s">
        <v>1626</v>
      </c>
      <c r="F473" t="s">
        <v>932</v>
      </c>
      <c r="I473" s="122">
        <v>1</v>
      </c>
      <c r="J473" s="92"/>
      <c r="K473" s="122">
        <v>0</v>
      </c>
      <c r="L473" s="92" t="s">
        <v>931</v>
      </c>
      <c r="M473" s="92"/>
      <c r="N473" s="92" t="s">
        <v>1800</v>
      </c>
      <c r="O473" s="92" t="s">
        <v>1800</v>
      </c>
      <c r="P473" s="92"/>
      <c r="Q473" s="92"/>
      <c r="R473" s="92"/>
      <c r="S473" s="133">
        <v>40042</v>
      </c>
      <c r="T473" s="133">
        <v>40042</v>
      </c>
      <c r="U473" s="92" t="s">
        <v>930</v>
      </c>
      <c r="V473" s="122">
        <v>1000</v>
      </c>
      <c r="W473" s="122">
        <v>14090</v>
      </c>
      <c r="X473" s="113">
        <v>7691.53</v>
      </c>
      <c r="Y473" s="122">
        <v>14096</v>
      </c>
      <c r="Z473" s="113">
        <v>7691.53</v>
      </c>
      <c r="AA473" s="113">
        <v>0</v>
      </c>
      <c r="AB473" s="113">
        <v>0</v>
      </c>
      <c r="AC473" s="122">
        <v>57260</v>
      </c>
      <c r="AD473" s="113">
        <v>0</v>
      </c>
      <c r="AE473" s="122" t="s">
        <v>433</v>
      </c>
      <c r="AF473" s="92"/>
      <c r="AG473" s="92"/>
      <c r="AH473" s="92" t="s">
        <v>2</v>
      </c>
      <c r="AI473" s="92" t="s">
        <v>1785</v>
      </c>
      <c r="AJ473" s="92" t="s">
        <v>1787</v>
      </c>
      <c r="AK473" s="92" t="s">
        <v>1779</v>
      </c>
      <c r="AL473" s="92">
        <v>0</v>
      </c>
      <c r="AM473" s="92">
        <v>0</v>
      </c>
    </row>
    <row r="474" spans="2:39">
      <c r="B474" s="122">
        <v>2149</v>
      </c>
      <c r="C474" s="132">
        <v>67191</v>
      </c>
      <c r="D474" s="122">
        <v>67079</v>
      </c>
      <c r="E474" s="92" t="s">
        <v>1626</v>
      </c>
      <c r="F474" t="s">
        <v>929</v>
      </c>
      <c r="I474" s="122">
        <v>1</v>
      </c>
      <c r="J474" s="92">
        <v>719712</v>
      </c>
      <c r="K474" s="122">
        <v>2009</v>
      </c>
      <c r="L474" s="92"/>
      <c r="M474" s="92"/>
      <c r="N474" s="92" t="s">
        <v>1788</v>
      </c>
      <c r="O474" s="92" t="s">
        <v>1789</v>
      </c>
      <c r="P474" s="92" t="s">
        <v>1814</v>
      </c>
      <c r="Q474" s="92"/>
      <c r="R474" s="92"/>
      <c r="S474" s="133">
        <v>40042</v>
      </c>
      <c r="T474" s="133">
        <v>40042</v>
      </c>
      <c r="U474" s="92" t="s">
        <v>928</v>
      </c>
      <c r="V474" s="122">
        <v>900</v>
      </c>
      <c r="W474" s="122">
        <v>14040</v>
      </c>
      <c r="X474" s="113">
        <v>1338.31</v>
      </c>
      <c r="Y474" s="122">
        <v>14046</v>
      </c>
      <c r="Z474" s="113">
        <v>1338.31</v>
      </c>
      <c r="AA474" s="113">
        <v>0</v>
      </c>
      <c r="AB474" s="113">
        <v>0</v>
      </c>
      <c r="AC474" s="122">
        <v>51260</v>
      </c>
      <c r="AD474" s="113">
        <v>0</v>
      </c>
      <c r="AE474" s="122" t="s">
        <v>433</v>
      </c>
      <c r="AF474" s="92"/>
      <c r="AG474" s="92"/>
      <c r="AH474" s="92" t="s">
        <v>2</v>
      </c>
      <c r="AI474" s="92" t="s">
        <v>1785</v>
      </c>
      <c r="AJ474" s="92" t="s">
        <v>1787</v>
      </c>
      <c r="AK474" s="92" t="s">
        <v>1779</v>
      </c>
      <c r="AL474" s="92">
        <v>0</v>
      </c>
      <c r="AM474" s="92">
        <v>0</v>
      </c>
    </row>
    <row r="475" spans="2:39">
      <c r="B475" s="122">
        <v>2149</v>
      </c>
      <c r="C475" s="132">
        <v>67190</v>
      </c>
      <c r="D475" s="122">
        <v>67080</v>
      </c>
      <c r="E475" s="92" t="s">
        <v>1626</v>
      </c>
      <c r="F475" t="s">
        <v>927</v>
      </c>
      <c r="I475" s="122">
        <v>1</v>
      </c>
      <c r="J475" s="92">
        <v>719770</v>
      </c>
      <c r="K475" s="122">
        <v>2009</v>
      </c>
      <c r="L475" s="92"/>
      <c r="M475" s="92"/>
      <c r="N475" s="92" t="s">
        <v>1788</v>
      </c>
      <c r="O475" s="92" t="s">
        <v>1789</v>
      </c>
      <c r="P475" s="92" t="s">
        <v>1814</v>
      </c>
      <c r="Q475" s="92"/>
      <c r="R475" s="92"/>
      <c r="S475" s="133">
        <v>40042</v>
      </c>
      <c r="T475" s="133">
        <v>40042</v>
      </c>
      <c r="U475" s="92" t="s">
        <v>926</v>
      </c>
      <c r="V475" s="122">
        <v>1000</v>
      </c>
      <c r="W475" s="122">
        <v>14040</v>
      </c>
      <c r="X475" s="113">
        <v>1458.41</v>
      </c>
      <c r="Y475" s="122">
        <v>14046</v>
      </c>
      <c r="Z475" s="113">
        <v>1458.41</v>
      </c>
      <c r="AA475" s="113">
        <v>0</v>
      </c>
      <c r="AB475" s="113">
        <v>0</v>
      </c>
      <c r="AC475" s="122">
        <v>51260</v>
      </c>
      <c r="AD475" s="113">
        <v>0</v>
      </c>
      <c r="AE475" s="122" t="s">
        <v>433</v>
      </c>
      <c r="AF475" s="92"/>
      <c r="AG475" s="92"/>
      <c r="AH475" s="92" t="s">
        <v>2</v>
      </c>
      <c r="AI475" s="92" t="s">
        <v>1785</v>
      </c>
      <c r="AJ475" s="92" t="s">
        <v>1787</v>
      </c>
      <c r="AK475" s="92" t="s">
        <v>1779</v>
      </c>
      <c r="AL475" s="92">
        <v>0</v>
      </c>
      <c r="AM475" s="92">
        <v>0</v>
      </c>
    </row>
    <row r="476" spans="2:39">
      <c r="B476" s="122">
        <v>2149</v>
      </c>
      <c r="C476" s="132">
        <v>67080</v>
      </c>
      <c r="D476" s="122" t="s">
        <v>433</v>
      </c>
      <c r="E476" s="92" t="s">
        <v>1626</v>
      </c>
      <c r="F476" t="s">
        <v>924</v>
      </c>
      <c r="I476" s="122">
        <v>1</v>
      </c>
      <c r="J476" s="92" t="s">
        <v>598</v>
      </c>
      <c r="K476" s="122">
        <v>2009</v>
      </c>
      <c r="L476" s="92" t="s">
        <v>855</v>
      </c>
      <c r="M476" s="92" t="s">
        <v>908</v>
      </c>
      <c r="N476" s="92" t="s">
        <v>1788</v>
      </c>
      <c r="O476" s="92" t="s">
        <v>1789</v>
      </c>
      <c r="P476" s="92" t="s">
        <v>1814</v>
      </c>
      <c r="Q476" s="92"/>
      <c r="R476" s="92"/>
      <c r="S476" s="133">
        <v>40042</v>
      </c>
      <c r="T476" s="133">
        <v>40042</v>
      </c>
      <c r="U476" s="92" t="s">
        <v>925</v>
      </c>
      <c r="V476" s="122">
        <v>1000</v>
      </c>
      <c r="W476" s="122">
        <v>14040</v>
      </c>
      <c r="X476" s="113">
        <v>250755.11</v>
      </c>
      <c r="Y476" s="122">
        <v>14046</v>
      </c>
      <c r="Z476" s="113">
        <v>250755.11</v>
      </c>
      <c r="AA476" s="113">
        <v>0</v>
      </c>
      <c r="AB476" s="113">
        <v>0</v>
      </c>
      <c r="AC476" s="122">
        <v>51260</v>
      </c>
      <c r="AD476" s="113">
        <v>0</v>
      </c>
      <c r="AE476" s="122" t="s">
        <v>433</v>
      </c>
      <c r="AF476" s="92"/>
      <c r="AG476" s="92">
        <v>28</v>
      </c>
      <c r="AH476" s="92" t="s">
        <v>2</v>
      </c>
      <c r="AI476" s="92" t="s">
        <v>1785</v>
      </c>
      <c r="AJ476" s="92" t="s">
        <v>1787</v>
      </c>
      <c r="AK476" s="92" t="s">
        <v>1779</v>
      </c>
      <c r="AL476" s="92">
        <v>0</v>
      </c>
      <c r="AM476" s="92">
        <v>0</v>
      </c>
    </row>
    <row r="477" spans="2:39">
      <c r="B477" s="122">
        <v>2149</v>
      </c>
      <c r="C477" s="132">
        <v>67079</v>
      </c>
      <c r="D477" s="122" t="s">
        <v>433</v>
      </c>
      <c r="E477" s="92" t="s">
        <v>1626</v>
      </c>
      <c r="F477" t="s">
        <v>924</v>
      </c>
      <c r="I477" s="122">
        <v>1</v>
      </c>
      <c r="J477" s="92" t="s">
        <v>599</v>
      </c>
      <c r="K477" s="122">
        <v>2009</v>
      </c>
      <c r="L477" s="92" t="s">
        <v>855</v>
      </c>
      <c r="M477" s="92" t="s">
        <v>908</v>
      </c>
      <c r="N477" s="92" t="s">
        <v>1788</v>
      </c>
      <c r="O477" s="92" t="s">
        <v>1789</v>
      </c>
      <c r="P477" s="92" t="s">
        <v>1814</v>
      </c>
      <c r="Q477" s="92"/>
      <c r="R477" s="92"/>
      <c r="S477" s="133">
        <v>40042</v>
      </c>
      <c r="T477" s="133">
        <v>40042</v>
      </c>
      <c r="U477" s="92" t="s">
        <v>923</v>
      </c>
      <c r="V477" s="122">
        <v>1000</v>
      </c>
      <c r="W477" s="122">
        <v>14040</v>
      </c>
      <c r="X477" s="113">
        <v>249776.96</v>
      </c>
      <c r="Y477" s="122">
        <v>14046</v>
      </c>
      <c r="Z477" s="113">
        <v>249776.96</v>
      </c>
      <c r="AA477" s="113">
        <v>0</v>
      </c>
      <c r="AB477" s="113">
        <v>0</v>
      </c>
      <c r="AC477" s="122">
        <v>51260</v>
      </c>
      <c r="AD477" s="113">
        <v>0</v>
      </c>
      <c r="AE477" s="122" t="s">
        <v>433</v>
      </c>
      <c r="AF477" s="92"/>
      <c r="AG477" s="92">
        <v>29</v>
      </c>
      <c r="AH477" s="92" t="s">
        <v>2</v>
      </c>
      <c r="AI477" s="92" t="s">
        <v>1785</v>
      </c>
      <c r="AJ477" s="92" t="s">
        <v>1787</v>
      </c>
      <c r="AK477" s="92" t="s">
        <v>1779</v>
      </c>
      <c r="AL477" s="92">
        <v>0</v>
      </c>
      <c r="AM477" s="92">
        <v>0</v>
      </c>
    </row>
    <row r="478" spans="2:39">
      <c r="B478" s="122">
        <v>2149</v>
      </c>
      <c r="C478" s="132">
        <v>66277</v>
      </c>
      <c r="D478" s="122" t="s">
        <v>433</v>
      </c>
      <c r="E478" s="92" t="s">
        <v>1626</v>
      </c>
      <c r="F478" t="s">
        <v>922</v>
      </c>
      <c r="I478" s="122">
        <v>1</v>
      </c>
      <c r="J478" s="92"/>
      <c r="K478" s="122">
        <v>0</v>
      </c>
      <c r="L478" s="92" t="s">
        <v>844</v>
      </c>
      <c r="M478" s="92"/>
      <c r="N478" s="92" t="s">
        <v>646</v>
      </c>
      <c r="O478" s="92" t="s">
        <v>1789</v>
      </c>
      <c r="P478" s="92"/>
      <c r="Q478" s="92"/>
      <c r="R478" s="92"/>
      <c r="S478" s="133">
        <v>40026</v>
      </c>
      <c r="T478" s="133">
        <v>40026</v>
      </c>
      <c r="U478" s="92" t="s">
        <v>918</v>
      </c>
      <c r="V478" s="122">
        <v>700</v>
      </c>
      <c r="W478" s="122">
        <v>14050</v>
      </c>
      <c r="X478" s="113">
        <v>318.7</v>
      </c>
      <c r="Y478" s="122">
        <v>14056</v>
      </c>
      <c r="Z478" s="113">
        <v>318.7</v>
      </c>
      <c r="AA478" s="113">
        <v>0</v>
      </c>
      <c r="AB478" s="113">
        <v>0</v>
      </c>
      <c r="AC478" s="122">
        <v>54260</v>
      </c>
      <c r="AD478" s="113">
        <v>0</v>
      </c>
      <c r="AE478" s="122" t="s">
        <v>433</v>
      </c>
      <c r="AF478" s="92"/>
      <c r="AG478" s="92"/>
      <c r="AH478" s="92" t="s">
        <v>2</v>
      </c>
      <c r="AI478" s="92" t="s">
        <v>1785</v>
      </c>
      <c r="AJ478" s="92" t="s">
        <v>1787</v>
      </c>
      <c r="AK478" s="92" t="s">
        <v>1779</v>
      </c>
      <c r="AL478" s="92">
        <v>0</v>
      </c>
      <c r="AM478" s="92">
        <v>0</v>
      </c>
    </row>
    <row r="479" spans="2:39">
      <c r="B479" s="122">
        <v>2149</v>
      </c>
      <c r="C479" s="132">
        <v>66276</v>
      </c>
      <c r="D479" s="122" t="s">
        <v>433</v>
      </c>
      <c r="E479" s="92" t="s">
        <v>1626</v>
      </c>
      <c r="F479" t="s">
        <v>919</v>
      </c>
      <c r="I479" s="122">
        <v>392</v>
      </c>
      <c r="J479" s="92"/>
      <c r="K479" s="122">
        <v>0</v>
      </c>
      <c r="L479" s="92" t="s">
        <v>844</v>
      </c>
      <c r="M479" s="92"/>
      <c r="N479" s="92" t="s">
        <v>646</v>
      </c>
      <c r="O479" s="92" t="s">
        <v>1789</v>
      </c>
      <c r="P479" s="92"/>
      <c r="Q479" s="92"/>
      <c r="R479" s="92"/>
      <c r="S479" s="133">
        <v>40026</v>
      </c>
      <c r="T479" s="133">
        <v>40026</v>
      </c>
      <c r="U479" s="92" t="s">
        <v>918</v>
      </c>
      <c r="V479" s="122">
        <v>700</v>
      </c>
      <c r="W479" s="122">
        <v>14050</v>
      </c>
      <c r="X479" s="113">
        <v>18249.36</v>
      </c>
      <c r="Y479" s="122">
        <v>14056</v>
      </c>
      <c r="Z479" s="113">
        <v>18249.36</v>
      </c>
      <c r="AA479" s="113">
        <v>0</v>
      </c>
      <c r="AB479" s="113">
        <v>0</v>
      </c>
      <c r="AC479" s="122">
        <v>54260</v>
      </c>
      <c r="AD479" s="113">
        <v>0</v>
      </c>
      <c r="AE479" s="122" t="s">
        <v>433</v>
      </c>
      <c r="AF479" s="92"/>
      <c r="AG479" s="92"/>
      <c r="AH479" s="92" t="s">
        <v>2</v>
      </c>
      <c r="AI479" s="92" t="s">
        <v>1785</v>
      </c>
      <c r="AJ479" s="92" t="s">
        <v>1787</v>
      </c>
      <c r="AK479" s="92" t="s">
        <v>1779</v>
      </c>
      <c r="AL479" s="92">
        <v>0</v>
      </c>
      <c r="AM479" s="92">
        <v>0</v>
      </c>
    </row>
    <row r="480" spans="2:39">
      <c r="B480" s="122">
        <v>2149</v>
      </c>
      <c r="C480" s="132">
        <v>66275</v>
      </c>
      <c r="D480" s="122" t="s">
        <v>433</v>
      </c>
      <c r="E480" s="92" t="s">
        <v>1626</v>
      </c>
      <c r="F480" t="s">
        <v>919</v>
      </c>
      <c r="I480" s="122">
        <v>624</v>
      </c>
      <c r="J480" s="92"/>
      <c r="K480" s="122">
        <v>0</v>
      </c>
      <c r="L480" s="92" t="s">
        <v>844</v>
      </c>
      <c r="M480" s="92"/>
      <c r="N480" s="92" t="s">
        <v>646</v>
      </c>
      <c r="O480" s="92" t="s">
        <v>1789</v>
      </c>
      <c r="P480" s="92"/>
      <c r="Q480" s="92"/>
      <c r="R480" s="92"/>
      <c r="S480" s="133">
        <v>40026</v>
      </c>
      <c r="T480" s="133">
        <v>40026</v>
      </c>
      <c r="U480" s="92" t="s">
        <v>918</v>
      </c>
      <c r="V480" s="122">
        <v>700</v>
      </c>
      <c r="W480" s="122">
        <v>14050</v>
      </c>
      <c r="X480" s="113">
        <v>28338.36</v>
      </c>
      <c r="Y480" s="122">
        <v>14056</v>
      </c>
      <c r="Z480" s="113">
        <v>28338.36</v>
      </c>
      <c r="AA480" s="113">
        <v>0</v>
      </c>
      <c r="AB480" s="113">
        <v>0</v>
      </c>
      <c r="AC480" s="122">
        <v>54260</v>
      </c>
      <c r="AD480" s="113">
        <v>0</v>
      </c>
      <c r="AE480" s="122" t="s">
        <v>433</v>
      </c>
      <c r="AF480" s="92"/>
      <c r="AG480" s="92"/>
      <c r="AH480" s="92" t="s">
        <v>2</v>
      </c>
      <c r="AI480" s="92" t="s">
        <v>1785</v>
      </c>
      <c r="AJ480" s="92" t="s">
        <v>1787</v>
      </c>
      <c r="AK480" s="92" t="s">
        <v>1779</v>
      </c>
      <c r="AL480" s="92">
        <v>0</v>
      </c>
      <c r="AM480" s="92">
        <v>0</v>
      </c>
    </row>
    <row r="481" spans="2:39">
      <c r="B481" s="122">
        <v>2149</v>
      </c>
      <c r="C481" s="132">
        <v>66274</v>
      </c>
      <c r="D481" s="122" t="s">
        <v>433</v>
      </c>
      <c r="E481" s="92" t="s">
        <v>1626</v>
      </c>
      <c r="F481" t="s">
        <v>921</v>
      </c>
      <c r="I481" s="122">
        <v>624</v>
      </c>
      <c r="J481" s="92"/>
      <c r="K481" s="122">
        <v>0</v>
      </c>
      <c r="L481" s="92" t="s">
        <v>844</v>
      </c>
      <c r="M481" s="92"/>
      <c r="N481" s="92" t="s">
        <v>646</v>
      </c>
      <c r="O481" s="92" t="s">
        <v>1789</v>
      </c>
      <c r="P481" s="92"/>
      <c r="Q481" s="92"/>
      <c r="R481" s="92"/>
      <c r="S481" s="133">
        <v>40026</v>
      </c>
      <c r="T481" s="133">
        <v>40026</v>
      </c>
      <c r="U481" s="92" t="s">
        <v>918</v>
      </c>
      <c r="V481" s="122">
        <v>700</v>
      </c>
      <c r="W481" s="122">
        <v>14050</v>
      </c>
      <c r="X481" s="113">
        <v>28338.36</v>
      </c>
      <c r="Y481" s="122">
        <v>14056</v>
      </c>
      <c r="Z481" s="113">
        <v>28338.36</v>
      </c>
      <c r="AA481" s="113">
        <v>0</v>
      </c>
      <c r="AB481" s="113">
        <v>0</v>
      </c>
      <c r="AC481" s="122">
        <v>54260</v>
      </c>
      <c r="AD481" s="113">
        <v>0</v>
      </c>
      <c r="AE481" s="122" t="s">
        <v>433</v>
      </c>
      <c r="AF481" s="92"/>
      <c r="AG481" s="92"/>
      <c r="AH481" s="92" t="s">
        <v>2</v>
      </c>
      <c r="AI481" s="92" t="s">
        <v>1785</v>
      </c>
      <c r="AJ481" s="92" t="s">
        <v>1787</v>
      </c>
      <c r="AK481" s="92" t="s">
        <v>1779</v>
      </c>
      <c r="AL481" s="92">
        <v>0</v>
      </c>
      <c r="AM481" s="92">
        <v>0</v>
      </c>
    </row>
    <row r="482" spans="2:39">
      <c r="B482" s="122">
        <v>2149</v>
      </c>
      <c r="C482" s="132">
        <v>66273</v>
      </c>
      <c r="D482" s="122" t="s">
        <v>433</v>
      </c>
      <c r="E482" s="92" t="s">
        <v>1626</v>
      </c>
      <c r="F482" t="s">
        <v>919</v>
      </c>
      <c r="I482" s="122">
        <v>624</v>
      </c>
      <c r="J482" s="92"/>
      <c r="K482" s="122">
        <v>0</v>
      </c>
      <c r="L482" s="92" t="s">
        <v>844</v>
      </c>
      <c r="M482" s="92"/>
      <c r="N482" s="92" t="s">
        <v>646</v>
      </c>
      <c r="O482" s="92" t="s">
        <v>1789</v>
      </c>
      <c r="P482" s="92"/>
      <c r="Q482" s="92"/>
      <c r="R482" s="92"/>
      <c r="S482" s="133">
        <v>40026</v>
      </c>
      <c r="T482" s="133">
        <v>40026</v>
      </c>
      <c r="U482" s="92" t="s">
        <v>918</v>
      </c>
      <c r="V482" s="122">
        <v>700</v>
      </c>
      <c r="W482" s="122">
        <v>14050</v>
      </c>
      <c r="X482" s="113">
        <v>28338.36</v>
      </c>
      <c r="Y482" s="122">
        <v>14056</v>
      </c>
      <c r="Z482" s="113">
        <v>28338.36</v>
      </c>
      <c r="AA482" s="113">
        <v>0</v>
      </c>
      <c r="AB482" s="113">
        <v>0</v>
      </c>
      <c r="AC482" s="122">
        <v>54260</v>
      </c>
      <c r="AD482" s="113">
        <v>0</v>
      </c>
      <c r="AE482" s="122" t="s">
        <v>433</v>
      </c>
      <c r="AF482" s="92"/>
      <c r="AG482" s="92"/>
      <c r="AH482" s="92" t="s">
        <v>2</v>
      </c>
      <c r="AI482" s="92" t="s">
        <v>1785</v>
      </c>
      <c r="AJ482" s="92" t="s">
        <v>1787</v>
      </c>
      <c r="AK482" s="92" t="s">
        <v>1779</v>
      </c>
      <c r="AL482" s="92">
        <v>0</v>
      </c>
      <c r="AM482" s="92">
        <v>0</v>
      </c>
    </row>
    <row r="483" spans="2:39">
      <c r="B483" s="122">
        <v>2149</v>
      </c>
      <c r="C483" s="132">
        <v>66272</v>
      </c>
      <c r="D483" s="122" t="s">
        <v>433</v>
      </c>
      <c r="E483" s="92" t="s">
        <v>1626</v>
      </c>
      <c r="F483" t="s">
        <v>919</v>
      </c>
      <c r="I483" s="122">
        <v>624</v>
      </c>
      <c r="J483" s="92"/>
      <c r="K483" s="122">
        <v>0</v>
      </c>
      <c r="L483" s="92" t="s">
        <v>844</v>
      </c>
      <c r="M483" s="92"/>
      <c r="N483" s="92" t="s">
        <v>646</v>
      </c>
      <c r="O483" s="92" t="s">
        <v>1789</v>
      </c>
      <c r="P483" s="92"/>
      <c r="Q483" s="92"/>
      <c r="R483" s="92"/>
      <c r="S483" s="133">
        <v>40026</v>
      </c>
      <c r="T483" s="133">
        <v>40026</v>
      </c>
      <c r="U483" s="92" t="s">
        <v>918</v>
      </c>
      <c r="V483" s="122">
        <v>700</v>
      </c>
      <c r="W483" s="122">
        <v>14050</v>
      </c>
      <c r="X483" s="113">
        <v>28338.36</v>
      </c>
      <c r="Y483" s="122">
        <v>14056</v>
      </c>
      <c r="Z483" s="113">
        <v>28338.36</v>
      </c>
      <c r="AA483" s="113">
        <v>0</v>
      </c>
      <c r="AB483" s="113">
        <v>0</v>
      </c>
      <c r="AC483" s="122">
        <v>54260</v>
      </c>
      <c r="AD483" s="113">
        <v>0</v>
      </c>
      <c r="AE483" s="122" t="s">
        <v>433</v>
      </c>
      <c r="AF483" s="92"/>
      <c r="AG483" s="92"/>
      <c r="AH483" s="92" t="s">
        <v>2</v>
      </c>
      <c r="AI483" s="92" t="s">
        <v>1785</v>
      </c>
      <c r="AJ483" s="92" t="s">
        <v>1787</v>
      </c>
      <c r="AK483" s="92" t="s">
        <v>1779</v>
      </c>
      <c r="AL483" s="92">
        <v>0</v>
      </c>
      <c r="AM483" s="92">
        <v>0</v>
      </c>
    </row>
    <row r="484" spans="2:39">
      <c r="B484" s="122">
        <v>2149</v>
      </c>
      <c r="C484" s="132">
        <v>66271</v>
      </c>
      <c r="D484" s="122" t="s">
        <v>433</v>
      </c>
      <c r="E484" s="92" t="s">
        <v>1626</v>
      </c>
      <c r="F484" t="s">
        <v>919</v>
      </c>
      <c r="I484" s="122">
        <v>624</v>
      </c>
      <c r="J484" s="92"/>
      <c r="K484" s="122">
        <v>0</v>
      </c>
      <c r="L484" s="92" t="s">
        <v>844</v>
      </c>
      <c r="M484" s="92"/>
      <c r="N484" s="92" t="s">
        <v>646</v>
      </c>
      <c r="O484" s="92" t="s">
        <v>1789</v>
      </c>
      <c r="P484" s="92"/>
      <c r="Q484" s="92"/>
      <c r="R484" s="92"/>
      <c r="S484" s="133">
        <v>40026</v>
      </c>
      <c r="T484" s="133">
        <v>40026</v>
      </c>
      <c r="U484" s="92" t="s">
        <v>918</v>
      </c>
      <c r="V484" s="122">
        <v>700</v>
      </c>
      <c r="W484" s="122">
        <v>14050</v>
      </c>
      <c r="X484" s="113">
        <v>28338.36</v>
      </c>
      <c r="Y484" s="122">
        <v>14056</v>
      </c>
      <c r="Z484" s="113">
        <v>28338.36</v>
      </c>
      <c r="AA484" s="113">
        <v>0</v>
      </c>
      <c r="AB484" s="113">
        <v>0</v>
      </c>
      <c r="AC484" s="122">
        <v>54260</v>
      </c>
      <c r="AD484" s="113">
        <v>0</v>
      </c>
      <c r="AE484" s="122" t="s">
        <v>433</v>
      </c>
      <c r="AF484" s="92"/>
      <c r="AG484" s="92"/>
      <c r="AH484" s="92" t="s">
        <v>2</v>
      </c>
      <c r="AI484" s="92" t="s">
        <v>1785</v>
      </c>
      <c r="AJ484" s="92" t="s">
        <v>1787</v>
      </c>
      <c r="AK484" s="92" t="s">
        <v>1779</v>
      </c>
      <c r="AL484" s="92">
        <v>0</v>
      </c>
      <c r="AM484" s="92">
        <v>0</v>
      </c>
    </row>
    <row r="485" spans="2:39">
      <c r="B485" s="122">
        <v>2149</v>
      </c>
      <c r="C485" s="132">
        <v>66270</v>
      </c>
      <c r="D485" s="122" t="s">
        <v>433</v>
      </c>
      <c r="E485" s="92" t="s">
        <v>1626</v>
      </c>
      <c r="F485" t="s">
        <v>919</v>
      </c>
      <c r="I485" s="122">
        <v>624</v>
      </c>
      <c r="J485" s="92"/>
      <c r="K485" s="122">
        <v>0</v>
      </c>
      <c r="L485" s="92" t="s">
        <v>844</v>
      </c>
      <c r="M485" s="92"/>
      <c r="N485" s="92" t="s">
        <v>646</v>
      </c>
      <c r="O485" s="92" t="s">
        <v>1789</v>
      </c>
      <c r="P485" s="92"/>
      <c r="Q485" s="92"/>
      <c r="R485" s="92"/>
      <c r="S485" s="133">
        <v>40026</v>
      </c>
      <c r="T485" s="133">
        <v>40026</v>
      </c>
      <c r="U485" s="92" t="s">
        <v>918</v>
      </c>
      <c r="V485" s="122">
        <v>700</v>
      </c>
      <c r="W485" s="122">
        <v>14050</v>
      </c>
      <c r="X485" s="113">
        <v>28338.36</v>
      </c>
      <c r="Y485" s="122">
        <v>14056</v>
      </c>
      <c r="Z485" s="113">
        <v>28338.36</v>
      </c>
      <c r="AA485" s="113">
        <v>0</v>
      </c>
      <c r="AB485" s="113">
        <v>0</v>
      </c>
      <c r="AC485" s="122">
        <v>54260</v>
      </c>
      <c r="AD485" s="113">
        <v>0</v>
      </c>
      <c r="AE485" s="122" t="s">
        <v>433</v>
      </c>
      <c r="AF485" s="92"/>
      <c r="AG485" s="92"/>
      <c r="AH485" s="92" t="s">
        <v>2</v>
      </c>
      <c r="AI485" s="92" t="s">
        <v>1785</v>
      </c>
      <c r="AJ485" s="92" t="s">
        <v>1787</v>
      </c>
      <c r="AK485" s="92" t="s">
        <v>1779</v>
      </c>
      <c r="AL485" s="92">
        <v>0</v>
      </c>
      <c r="AM485" s="92">
        <v>0</v>
      </c>
    </row>
    <row r="486" spans="2:39">
      <c r="B486" s="122">
        <v>2149</v>
      </c>
      <c r="C486" s="132">
        <v>66269</v>
      </c>
      <c r="D486" s="122" t="s">
        <v>433</v>
      </c>
      <c r="E486" s="92" t="s">
        <v>1626</v>
      </c>
      <c r="F486" t="s">
        <v>920</v>
      </c>
      <c r="I486" s="122">
        <v>624</v>
      </c>
      <c r="J486" s="92"/>
      <c r="K486" s="122">
        <v>0</v>
      </c>
      <c r="L486" s="92" t="s">
        <v>844</v>
      </c>
      <c r="M486" s="92"/>
      <c r="N486" s="92" t="s">
        <v>646</v>
      </c>
      <c r="O486" s="92" t="s">
        <v>1789</v>
      </c>
      <c r="P486" s="92"/>
      <c r="Q486" s="92"/>
      <c r="R486" s="92"/>
      <c r="S486" s="133">
        <v>40026</v>
      </c>
      <c r="T486" s="133">
        <v>40026</v>
      </c>
      <c r="U486" s="92" t="s">
        <v>918</v>
      </c>
      <c r="V486" s="122">
        <v>700</v>
      </c>
      <c r="W486" s="122">
        <v>14050</v>
      </c>
      <c r="X486" s="113">
        <v>28338.36</v>
      </c>
      <c r="Y486" s="122">
        <v>14056</v>
      </c>
      <c r="Z486" s="113">
        <v>28338.36</v>
      </c>
      <c r="AA486" s="113">
        <v>0</v>
      </c>
      <c r="AB486" s="113">
        <v>0</v>
      </c>
      <c r="AC486" s="122">
        <v>54260</v>
      </c>
      <c r="AD486" s="113">
        <v>0</v>
      </c>
      <c r="AE486" s="122" t="s">
        <v>433</v>
      </c>
      <c r="AF486" s="92"/>
      <c r="AG486" s="92"/>
      <c r="AH486" s="92" t="s">
        <v>2</v>
      </c>
      <c r="AI486" s="92" t="s">
        <v>1785</v>
      </c>
      <c r="AJ486" s="92" t="s">
        <v>1787</v>
      </c>
      <c r="AK486" s="92" t="s">
        <v>1779</v>
      </c>
      <c r="AL486" s="92">
        <v>0</v>
      </c>
      <c r="AM486" s="92">
        <v>0</v>
      </c>
    </row>
    <row r="487" spans="2:39">
      <c r="B487" s="122">
        <v>2149</v>
      </c>
      <c r="C487" s="132">
        <v>66268</v>
      </c>
      <c r="D487" s="122" t="s">
        <v>433</v>
      </c>
      <c r="E487" s="92" t="s">
        <v>1626</v>
      </c>
      <c r="F487" t="s">
        <v>919</v>
      </c>
      <c r="I487" s="122">
        <v>624</v>
      </c>
      <c r="J487" s="92"/>
      <c r="K487" s="122">
        <v>0</v>
      </c>
      <c r="L487" s="92" t="s">
        <v>844</v>
      </c>
      <c r="M487" s="92"/>
      <c r="N487" s="92" t="s">
        <v>646</v>
      </c>
      <c r="O487" s="92" t="s">
        <v>1789</v>
      </c>
      <c r="P487" s="92"/>
      <c r="Q487" s="92"/>
      <c r="R487" s="92"/>
      <c r="S487" s="133">
        <v>40026</v>
      </c>
      <c r="T487" s="133">
        <v>40026</v>
      </c>
      <c r="U487" s="92" t="s">
        <v>918</v>
      </c>
      <c r="V487" s="122">
        <v>700</v>
      </c>
      <c r="W487" s="122">
        <v>14050</v>
      </c>
      <c r="X487" s="113">
        <v>28338.36</v>
      </c>
      <c r="Y487" s="122">
        <v>14056</v>
      </c>
      <c r="Z487" s="113">
        <v>28338.36</v>
      </c>
      <c r="AA487" s="113">
        <v>0</v>
      </c>
      <c r="AB487" s="113">
        <v>0</v>
      </c>
      <c r="AC487" s="122">
        <v>54260</v>
      </c>
      <c r="AD487" s="113">
        <v>0</v>
      </c>
      <c r="AE487" s="122" t="s">
        <v>433</v>
      </c>
      <c r="AF487" s="92"/>
      <c r="AG487" s="92"/>
      <c r="AH487" s="92" t="s">
        <v>2</v>
      </c>
      <c r="AI487" s="92" t="s">
        <v>1785</v>
      </c>
      <c r="AJ487" s="92" t="s">
        <v>1787</v>
      </c>
      <c r="AK487" s="92" t="s">
        <v>1779</v>
      </c>
      <c r="AL487" s="92">
        <v>0</v>
      </c>
      <c r="AM487" s="92">
        <v>0</v>
      </c>
    </row>
    <row r="488" spans="2:39">
      <c r="B488" s="122">
        <v>2149</v>
      </c>
      <c r="C488" s="132">
        <v>66267</v>
      </c>
      <c r="D488" s="122" t="s">
        <v>433</v>
      </c>
      <c r="E488" s="92" t="s">
        <v>1626</v>
      </c>
      <c r="F488" t="s">
        <v>919</v>
      </c>
      <c r="I488" s="122">
        <v>624</v>
      </c>
      <c r="J488" s="92"/>
      <c r="K488" s="122">
        <v>0</v>
      </c>
      <c r="L488" s="92" t="s">
        <v>844</v>
      </c>
      <c r="M488" s="92"/>
      <c r="N488" s="92" t="s">
        <v>646</v>
      </c>
      <c r="O488" s="92" t="s">
        <v>1789</v>
      </c>
      <c r="P488" s="92"/>
      <c r="Q488" s="92"/>
      <c r="R488" s="92"/>
      <c r="S488" s="133">
        <v>40026</v>
      </c>
      <c r="T488" s="133">
        <v>40026</v>
      </c>
      <c r="U488" s="92" t="s">
        <v>918</v>
      </c>
      <c r="V488" s="122">
        <v>700</v>
      </c>
      <c r="W488" s="122">
        <v>14050</v>
      </c>
      <c r="X488" s="113">
        <v>28338.36</v>
      </c>
      <c r="Y488" s="122">
        <v>14056</v>
      </c>
      <c r="Z488" s="113">
        <v>28338.36</v>
      </c>
      <c r="AA488" s="113">
        <v>0</v>
      </c>
      <c r="AB488" s="113">
        <v>0</v>
      </c>
      <c r="AC488" s="122">
        <v>54260</v>
      </c>
      <c r="AD488" s="113">
        <v>0</v>
      </c>
      <c r="AE488" s="122" t="s">
        <v>433</v>
      </c>
      <c r="AF488" s="92"/>
      <c r="AG488" s="92"/>
      <c r="AH488" s="92" t="s">
        <v>2</v>
      </c>
      <c r="AI488" s="92" t="s">
        <v>1785</v>
      </c>
      <c r="AJ488" s="92" t="s">
        <v>1787</v>
      </c>
      <c r="AK488" s="92" t="s">
        <v>1779</v>
      </c>
      <c r="AL488" s="92">
        <v>0</v>
      </c>
      <c r="AM488" s="92">
        <v>0</v>
      </c>
    </row>
    <row r="489" spans="2:39">
      <c r="B489" s="122">
        <v>2149</v>
      </c>
      <c r="C489" s="132">
        <v>66266</v>
      </c>
      <c r="D489" s="122" t="s">
        <v>433</v>
      </c>
      <c r="E489" s="92" t="s">
        <v>1626</v>
      </c>
      <c r="F489" t="s">
        <v>919</v>
      </c>
      <c r="I489" s="122">
        <v>624</v>
      </c>
      <c r="J489" s="92"/>
      <c r="K489" s="122">
        <v>0</v>
      </c>
      <c r="L489" s="92" t="s">
        <v>844</v>
      </c>
      <c r="M489" s="92"/>
      <c r="N489" s="92" t="s">
        <v>646</v>
      </c>
      <c r="O489" s="92" t="s">
        <v>1789</v>
      </c>
      <c r="P489" s="92"/>
      <c r="Q489" s="92"/>
      <c r="R489" s="92"/>
      <c r="S489" s="133">
        <v>40026</v>
      </c>
      <c r="T489" s="133">
        <v>40026</v>
      </c>
      <c r="U489" s="92" t="s">
        <v>918</v>
      </c>
      <c r="V489" s="122">
        <v>700</v>
      </c>
      <c r="W489" s="122">
        <v>14050</v>
      </c>
      <c r="X489" s="113">
        <v>28338.36</v>
      </c>
      <c r="Y489" s="122">
        <v>14056</v>
      </c>
      <c r="Z489" s="113">
        <v>28338.36</v>
      </c>
      <c r="AA489" s="113">
        <v>0</v>
      </c>
      <c r="AB489" s="113">
        <v>0</v>
      </c>
      <c r="AC489" s="122">
        <v>54260</v>
      </c>
      <c r="AD489" s="113">
        <v>0</v>
      </c>
      <c r="AE489" s="122" t="s">
        <v>433</v>
      </c>
      <c r="AF489" s="92"/>
      <c r="AG489" s="92"/>
      <c r="AH489" s="92" t="s">
        <v>2</v>
      </c>
      <c r="AI489" s="92" t="s">
        <v>1785</v>
      </c>
      <c r="AJ489" s="92" t="s">
        <v>1787</v>
      </c>
      <c r="AK489" s="92" t="s">
        <v>1779</v>
      </c>
      <c r="AL489" s="92">
        <v>0</v>
      </c>
      <c r="AM489" s="92">
        <v>0</v>
      </c>
    </row>
    <row r="490" spans="2:39">
      <c r="B490" s="122">
        <v>2149</v>
      </c>
      <c r="C490" s="132">
        <v>66265</v>
      </c>
      <c r="D490" s="122" t="s">
        <v>433</v>
      </c>
      <c r="E490" s="92" t="s">
        <v>1626</v>
      </c>
      <c r="F490" t="s">
        <v>919</v>
      </c>
      <c r="I490" s="122">
        <v>624</v>
      </c>
      <c r="J490" s="92"/>
      <c r="K490" s="122">
        <v>0</v>
      </c>
      <c r="L490" s="92" t="s">
        <v>844</v>
      </c>
      <c r="M490" s="92"/>
      <c r="N490" s="92" t="s">
        <v>646</v>
      </c>
      <c r="O490" s="92" t="s">
        <v>1789</v>
      </c>
      <c r="P490" s="92"/>
      <c r="Q490" s="92"/>
      <c r="R490" s="92"/>
      <c r="S490" s="133">
        <v>40026</v>
      </c>
      <c r="T490" s="133">
        <v>40026</v>
      </c>
      <c r="U490" s="92" t="s">
        <v>918</v>
      </c>
      <c r="V490" s="122">
        <v>700</v>
      </c>
      <c r="W490" s="122">
        <v>14050</v>
      </c>
      <c r="X490" s="113">
        <v>28338.36</v>
      </c>
      <c r="Y490" s="122">
        <v>14056</v>
      </c>
      <c r="Z490" s="113">
        <v>28338.36</v>
      </c>
      <c r="AA490" s="113">
        <v>0</v>
      </c>
      <c r="AB490" s="113">
        <v>0</v>
      </c>
      <c r="AC490" s="122">
        <v>54260</v>
      </c>
      <c r="AD490" s="113">
        <v>0</v>
      </c>
      <c r="AE490" s="122" t="s">
        <v>433</v>
      </c>
      <c r="AF490" s="92"/>
      <c r="AG490" s="92"/>
      <c r="AH490" s="92" t="s">
        <v>2</v>
      </c>
      <c r="AI490" s="92" t="s">
        <v>1785</v>
      </c>
      <c r="AJ490" s="92" t="s">
        <v>1787</v>
      </c>
      <c r="AK490" s="92" t="s">
        <v>1779</v>
      </c>
      <c r="AL490" s="92">
        <v>0</v>
      </c>
      <c r="AM490" s="92">
        <v>0</v>
      </c>
    </row>
    <row r="491" spans="2:39">
      <c r="B491" s="122">
        <v>2149</v>
      </c>
      <c r="C491" s="132">
        <v>66264</v>
      </c>
      <c r="D491" s="122" t="s">
        <v>433</v>
      </c>
      <c r="E491" s="92" t="s">
        <v>1626</v>
      </c>
      <c r="F491" t="s">
        <v>919</v>
      </c>
      <c r="I491" s="122">
        <v>624</v>
      </c>
      <c r="J491" s="92"/>
      <c r="K491" s="122">
        <v>0</v>
      </c>
      <c r="L491" s="92" t="s">
        <v>844</v>
      </c>
      <c r="M491" s="92"/>
      <c r="N491" s="92" t="s">
        <v>646</v>
      </c>
      <c r="O491" s="92" t="s">
        <v>1789</v>
      </c>
      <c r="P491" s="92"/>
      <c r="Q491" s="92"/>
      <c r="R491" s="92"/>
      <c r="S491" s="133">
        <v>40026</v>
      </c>
      <c r="T491" s="133">
        <v>40026</v>
      </c>
      <c r="U491" s="92" t="s">
        <v>918</v>
      </c>
      <c r="V491" s="122">
        <v>700</v>
      </c>
      <c r="W491" s="122">
        <v>14050</v>
      </c>
      <c r="X491" s="113">
        <v>28338.36</v>
      </c>
      <c r="Y491" s="122">
        <v>14056</v>
      </c>
      <c r="Z491" s="113">
        <v>28338.36</v>
      </c>
      <c r="AA491" s="113">
        <v>0</v>
      </c>
      <c r="AB491" s="113">
        <v>0</v>
      </c>
      <c r="AC491" s="122">
        <v>54260</v>
      </c>
      <c r="AD491" s="113">
        <v>0</v>
      </c>
      <c r="AE491" s="122" t="s">
        <v>433</v>
      </c>
      <c r="AF491" s="92"/>
      <c r="AG491" s="92"/>
      <c r="AH491" s="92" t="s">
        <v>2</v>
      </c>
      <c r="AI491" s="92" t="s">
        <v>1785</v>
      </c>
      <c r="AJ491" s="92" t="s">
        <v>1787</v>
      </c>
      <c r="AK491" s="92" t="s">
        <v>1779</v>
      </c>
      <c r="AL491" s="92">
        <v>0</v>
      </c>
      <c r="AM491" s="92">
        <v>0</v>
      </c>
    </row>
    <row r="492" spans="2:39">
      <c r="B492" s="122">
        <v>2149</v>
      </c>
      <c r="C492" s="132">
        <v>66263</v>
      </c>
      <c r="D492" s="122" t="s">
        <v>433</v>
      </c>
      <c r="E492" s="92" t="s">
        <v>1626</v>
      </c>
      <c r="F492" t="s">
        <v>919</v>
      </c>
      <c r="I492" s="122">
        <v>624</v>
      </c>
      <c r="J492" s="92"/>
      <c r="K492" s="122">
        <v>0</v>
      </c>
      <c r="L492" s="92" t="s">
        <v>844</v>
      </c>
      <c r="M492" s="92"/>
      <c r="N492" s="92" t="s">
        <v>646</v>
      </c>
      <c r="O492" s="92" t="s">
        <v>1789</v>
      </c>
      <c r="P492" s="92"/>
      <c r="Q492" s="92"/>
      <c r="R492" s="92"/>
      <c r="S492" s="133">
        <v>40026</v>
      </c>
      <c r="T492" s="133">
        <v>40026</v>
      </c>
      <c r="U492" s="92" t="s">
        <v>918</v>
      </c>
      <c r="V492" s="122">
        <v>700</v>
      </c>
      <c r="W492" s="122">
        <v>14050</v>
      </c>
      <c r="X492" s="113">
        <v>28338.36</v>
      </c>
      <c r="Y492" s="122">
        <v>14056</v>
      </c>
      <c r="Z492" s="113">
        <v>28338.36</v>
      </c>
      <c r="AA492" s="113">
        <v>0</v>
      </c>
      <c r="AB492" s="113">
        <v>0</v>
      </c>
      <c r="AC492" s="122">
        <v>54260</v>
      </c>
      <c r="AD492" s="113">
        <v>0</v>
      </c>
      <c r="AE492" s="122" t="s">
        <v>433</v>
      </c>
      <c r="AF492" s="92"/>
      <c r="AG492" s="92"/>
      <c r="AH492" s="92" t="s">
        <v>2</v>
      </c>
      <c r="AI492" s="92" t="s">
        <v>1785</v>
      </c>
      <c r="AJ492" s="92" t="s">
        <v>1787</v>
      </c>
      <c r="AK492" s="92" t="s">
        <v>1779</v>
      </c>
      <c r="AL492" s="92">
        <v>0</v>
      </c>
      <c r="AM492" s="92">
        <v>0</v>
      </c>
    </row>
    <row r="493" spans="2:39">
      <c r="B493" s="122">
        <v>2149</v>
      </c>
      <c r="C493" s="132">
        <v>66262</v>
      </c>
      <c r="D493" s="122" t="s">
        <v>433</v>
      </c>
      <c r="E493" s="92" t="s">
        <v>1626</v>
      </c>
      <c r="F493" t="s">
        <v>919</v>
      </c>
      <c r="I493" s="122">
        <v>624</v>
      </c>
      <c r="J493" s="92"/>
      <c r="K493" s="122">
        <v>0</v>
      </c>
      <c r="L493" s="92" t="s">
        <v>844</v>
      </c>
      <c r="M493" s="92"/>
      <c r="N493" s="92" t="s">
        <v>646</v>
      </c>
      <c r="O493" s="92" t="s">
        <v>1789</v>
      </c>
      <c r="P493" s="92"/>
      <c r="Q493" s="92"/>
      <c r="R493" s="92"/>
      <c r="S493" s="133">
        <v>40026</v>
      </c>
      <c r="T493" s="133">
        <v>40026</v>
      </c>
      <c r="U493" s="92" t="s">
        <v>918</v>
      </c>
      <c r="V493" s="122">
        <v>700</v>
      </c>
      <c r="W493" s="122">
        <v>14050</v>
      </c>
      <c r="X493" s="113">
        <v>28338.36</v>
      </c>
      <c r="Y493" s="122">
        <v>14056</v>
      </c>
      <c r="Z493" s="113">
        <v>28338.36</v>
      </c>
      <c r="AA493" s="113">
        <v>0</v>
      </c>
      <c r="AB493" s="113">
        <v>0</v>
      </c>
      <c r="AC493" s="122">
        <v>54260</v>
      </c>
      <c r="AD493" s="113">
        <v>0</v>
      </c>
      <c r="AE493" s="122" t="s">
        <v>433</v>
      </c>
      <c r="AF493" s="92"/>
      <c r="AG493" s="92"/>
      <c r="AH493" s="92" t="s">
        <v>2</v>
      </c>
      <c r="AI493" s="92" t="s">
        <v>1785</v>
      </c>
      <c r="AJ493" s="92" t="s">
        <v>1787</v>
      </c>
      <c r="AK493" s="92" t="s">
        <v>1779</v>
      </c>
      <c r="AL493" s="92">
        <v>0</v>
      </c>
      <c r="AM493" s="92">
        <v>0</v>
      </c>
    </row>
    <row r="494" spans="2:39">
      <c r="B494" s="122">
        <v>2149</v>
      </c>
      <c r="C494" s="132">
        <v>66261</v>
      </c>
      <c r="D494" s="122" t="s">
        <v>433</v>
      </c>
      <c r="E494" s="92" t="s">
        <v>1626</v>
      </c>
      <c r="F494" t="s">
        <v>919</v>
      </c>
      <c r="I494" s="122">
        <v>624</v>
      </c>
      <c r="J494" s="92"/>
      <c r="K494" s="122">
        <v>0</v>
      </c>
      <c r="L494" s="92" t="s">
        <v>844</v>
      </c>
      <c r="M494" s="92"/>
      <c r="N494" s="92" t="s">
        <v>646</v>
      </c>
      <c r="O494" s="92" t="s">
        <v>1789</v>
      </c>
      <c r="P494" s="92"/>
      <c r="Q494" s="92"/>
      <c r="R494" s="92"/>
      <c r="S494" s="133">
        <v>40026</v>
      </c>
      <c r="T494" s="133">
        <v>40026</v>
      </c>
      <c r="U494" s="92" t="s">
        <v>918</v>
      </c>
      <c r="V494" s="122">
        <v>700</v>
      </c>
      <c r="W494" s="122">
        <v>14050</v>
      </c>
      <c r="X494" s="113">
        <v>28338.36</v>
      </c>
      <c r="Y494" s="122">
        <v>14056</v>
      </c>
      <c r="Z494" s="113">
        <v>28338.36</v>
      </c>
      <c r="AA494" s="113">
        <v>0</v>
      </c>
      <c r="AB494" s="113">
        <v>0</v>
      </c>
      <c r="AC494" s="122">
        <v>54260</v>
      </c>
      <c r="AD494" s="113">
        <v>0</v>
      </c>
      <c r="AE494" s="122" t="s">
        <v>433</v>
      </c>
      <c r="AF494" s="92"/>
      <c r="AG494" s="92"/>
      <c r="AH494" s="92" t="s">
        <v>2</v>
      </c>
      <c r="AI494" s="92" t="s">
        <v>1785</v>
      </c>
      <c r="AJ494" s="92" t="s">
        <v>1787</v>
      </c>
      <c r="AK494" s="92" t="s">
        <v>1779</v>
      </c>
      <c r="AL494" s="92">
        <v>0</v>
      </c>
      <c r="AM494" s="92">
        <v>0</v>
      </c>
    </row>
    <row r="495" spans="2:39">
      <c r="B495" s="122">
        <v>2149</v>
      </c>
      <c r="C495" s="132">
        <v>66260</v>
      </c>
      <c r="D495" s="122" t="s">
        <v>433</v>
      </c>
      <c r="E495" s="92" t="s">
        <v>1626</v>
      </c>
      <c r="F495" t="s">
        <v>919</v>
      </c>
      <c r="I495" s="122">
        <v>624</v>
      </c>
      <c r="J495" s="92"/>
      <c r="K495" s="122">
        <v>0</v>
      </c>
      <c r="L495" s="92" t="s">
        <v>844</v>
      </c>
      <c r="M495" s="92"/>
      <c r="N495" s="92" t="s">
        <v>646</v>
      </c>
      <c r="O495" s="92" t="s">
        <v>1789</v>
      </c>
      <c r="P495" s="92"/>
      <c r="Q495" s="92"/>
      <c r="R495" s="92"/>
      <c r="S495" s="133">
        <v>40026</v>
      </c>
      <c r="T495" s="133">
        <v>40026</v>
      </c>
      <c r="U495" s="92" t="s">
        <v>918</v>
      </c>
      <c r="V495" s="122">
        <v>700</v>
      </c>
      <c r="W495" s="122">
        <v>14050</v>
      </c>
      <c r="X495" s="113">
        <v>28338.36</v>
      </c>
      <c r="Y495" s="122">
        <v>14056</v>
      </c>
      <c r="Z495" s="113">
        <v>28338.36</v>
      </c>
      <c r="AA495" s="113">
        <v>0</v>
      </c>
      <c r="AB495" s="113">
        <v>0</v>
      </c>
      <c r="AC495" s="122">
        <v>54260</v>
      </c>
      <c r="AD495" s="113">
        <v>0</v>
      </c>
      <c r="AE495" s="122" t="s">
        <v>433</v>
      </c>
      <c r="AF495" s="92"/>
      <c r="AG495" s="92"/>
      <c r="AH495" s="92" t="s">
        <v>2</v>
      </c>
      <c r="AI495" s="92" t="s">
        <v>1785</v>
      </c>
      <c r="AJ495" s="92" t="s">
        <v>1787</v>
      </c>
      <c r="AK495" s="92" t="s">
        <v>1779</v>
      </c>
      <c r="AL495" s="92">
        <v>0</v>
      </c>
      <c r="AM495" s="92">
        <v>0</v>
      </c>
    </row>
    <row r="496" spans="2:39">
      <c r="B496" s="122">
        <v>2149</v>
      </c>
      <c r="C496" s="132">
        <v>66259</v>
      </c>
      <c r="D496" s="122" t="s">
        <v>433</v>
      </c>
      <c r="E496" s="92" t="s">
        <v>1626</v>
      </c>
      <c r="F496" t="s">
        <v>919</v>
      </c>
      <c r="I496" s="122">
        <v>624</v>
      </c>
      <c r="J496" s="92"/>
      <c r="K496" s="122">
        <v>0</v>
      </c>
      <c r="L496" s="92" t="s">
        <v>844</v>
      </c>
      <c r="M496" s="92"/>
      <c r="N496" s="92" t="s">
        <v>646</v>
      </c>
      <c r="O496" s="92" t="s">
        <v>1789</v>
      </c>
      <c r="P496" s="92"/>
      <c r="Q496" s="92"/>
      <c r="R496" s="92"/>
      <c r="S496" s="133">
        <v>40026</v>
      </c>
      <c r="T496" s="133">
        <v>40026</v>
      </c>
      <c r="U496" s="92" t="s">
        <v>918</v>
      </c>
      <c r="V496" s="122">
        <v>700</v>
      </c>
      <c r="W496" s="122">
        <v>14050</v>
      </c>
      <c r="X496" s="113">
        <v>28338.36</v>
      </c>
      <c r="Y496" s="122">
        <v>14056</v>
      </c>
      <c r="Z496" s="113">
        <v>28338.36</v>
      </c>
      <c r="AA496" s="113">
        <v>0</v>
      </c>
      <c r="AB496" s="113">
        <v>0</v>
      </c>
      <c r="AC496" s="122">
        <v>54260</v>
      </c>
      <c r="AD496" s="113">
        <v>0</v>
      </c>
      <c r="AE496" s="122" t="s">
        <v>433</v>
      </c>
      <c r="AF496" s="92"/>
      <c r="AG496" s="92"/>
      <c r="AH496" s="92" t="s">
        <v>2</v>
      </c>
      <c r="AI496" s="92" t="s">
        <v>1785</v>
      </c>
      <c r="AJ496" s="92" t="s">
        <v>1787</v>
      </c>
      <c r="AK496" s="92" t="s">
        <v>1779</v>
      </c>
      <c r="AL496" s="92">
        <v>0</v>
      </c>
      <c r="AM496" s="92">
        <v>0</v>
      </c>
    </row>
    <row r="497" spans="2:39">
      <c r="B497" s="122">
        <v>2149</v>
      </c>
      <c r="C497" s="132">
        <v>66178</v>
      </c>
      <c r="D497" s="122" t="s">
        <v>433</v>
      </c>
      <c r="E497" s="92" t="s">
        <v>1626</v>
      </c>
      <c r="F497" t="s">
        <v>917</v>
      </c>
      <c r="I497" s="122">
        <v>1</v>
      </c>
      <c r="J497" s="92" t="s">
        <v>614</v>
      </c>
      <c r="K497" s="122">
        <v>2009</v>
      </c>
      <c r="L497" s="92" t="s">
        <v>916</v>
      </c>
      <c r="M497" s="92" t="s">
        <v>915</v>
      </c>
      <c r="N497" s="92" t="s">
        <v>1788</v>
      </c>
      <c r="O497" s="92" t="s">
        <v>1789</v>
      </c>
      <c r="P497" s="92" t="s">
        <v>1817</v>
      </c>
      <c r="Q497" s="92"/>
      <c r="R497" s="92"/>
      <c r="S497" s="133">
        <v>40001</v>
      </c>
      <c r="T497" s="133">
        <v>40001</v>
      </c>
      <c r="U497" s="92" t="s">
        <v>914</v>
      </c>
      <c r="V497" s="122">
        <v>600</v>
      </c>
      <c r="W497" s="122">
        <v>14040</v>
      </c>
      <c r="X497" s="113">
        <v>6959.28</v>
      </c>
      <c r="Y497" s="122">
        <v>14046</v>
      </c>
      <c r="Z497" s="113">
        <v>6959.28</v>
      </c>
      <c r="AA497" s="113">
        <v>0</v>
      </c>
      <c r="AB497" s="113">
        <v>0</v>
      </c>
      <c r="AC497" s="122">
        <v>51260</v>
      </c>
      <c r="AD497" s="113">
        <v>0</v>
      </c>
      <c r="AE497" s="122" t="s">
        <v>433</v>
      </c>
      <c r="AF497" s="92"/>
      <c r="AG497" s="92">
        <v>8008</v>
      </c>
      <c r="AH497" s="92" t="s">
        <v>2</v>
      </c>
      <c r="AI497" s="92" t="s">
        <v>1785</v>
      </c>
      <c r="AJ497" s="92" t="s">
        <v>1787</v>
      </c>
      <c r="AK497" s="92" t="s">
        <v>1779</v>
      </c>
      <c r="AL497" s="92">
        <v>0</v>
      </c>
      <c r="AM497" s="92">
        <v>0</v>
      </c>
    </row>
    <row r="498" spans="2:39">
      <c r="B498" s="122">
        <v>2149</v>
      </c>
      <c r="C498" s="132">
        <v>66176</v>
      </c>
      <c r="D498" s="122" t="s">
        <v>433</v>
      </c>
      <c r="E498" s="92" t="s">
        <v>1626</v>
      </c>
      <c r="F498" t="s">
        <v>913</v>
      </c>
      <c r="I498" s="122">
        <v>1</v>
      </c>
      <c r="J498" s="92" t="s">
        <v>585</v>
      </c>
      <c r="K498" s="122">
        <v>2004</v>
      </c>
      <c r="L498" s="92" t="s">
        <v>912</v>
      </c>
      <c r="M498" s="92" t="s">
        <v>1320</v>
      </c>
      <c r="N498" s="92" t="s">
        <v>1788</v>
      </c>
      <c r="O498" s="92" t="s">
        <v>1789</v>
      </c>
      <c r="P498" s="92" t="s">
        <v>1813</v>
      </c>
      <c r="Q498" s="92"/>
      <c r="R498" s="92"/>
      <c r="S498" s="133">
        <v>39995</v>
      </c>
      <c r="T498" s="133">
        <v>39995</v>
      </c>
      <c r="U498" s="92" t="s">
        <v>911</v>
      </c>
      <c r="V498" s="122">
        <v>300</v>
      </c>
      <c r="W498" s="122">
        <v>14040</v>
      </c>
      <c r="X498" s="113">
        <v>21422.720000000001</v>
      </c>
      <c r="Y498" s="122">
        <v>14046</v>
      </c>
      <c r="Z498" s="113">
        <v>21422.720000000001</v>
      </c>
      <c r="AA498" s="113">
        <v>0</v>
      </c>
      <c r="AB498" s="113">
        <v>0</v>
      </c>
      <c r="AC498" s="122">
        <v>51260</v>
      </c>
      <c r="AD498" s="113">
        <v>0</v>
      </c>
      <c r="AE498" s="122" t="s">
        <v>433</v>
      </c>
      <c r="AF498" s="92"/>
      <c r="AG498" s="92" t="s">
        <v>584</v>
      </c>
      <c r="AH498" s="92" t="s">
        <v>2</v>
      </c>
      <c r="AI498" s="92" t="s">
        <v>1785</v>
      </c>
      <c r="AJ498" s="92" t="s">
        <v>1787</v>
      </c>
      <c r="AK498" s="92" t="s">
        <v>1779</v>
      </c>
      <c r="AL498" s="92">
        <v>0</v>
      </c>
      <c r="AM498" s="92">
        <v>0</v>
      </c>
    </row>
    <row r="499" spans="2:39">
      <c r="B499" s="122">
        <v>2149</v>
      </c>
      <c r="C499" s="132">
        <v>65867</v>
      </c>
      <c r="D499" s="122">
        <v>56939</v>
      </c>
      <c r="E499" s="92" t="s">
        <v>1626</v>
      </c>
      <c r="F499" t="s">
        <v>910</v>
      </c>
      <c r="I499" s="122">
        <v>1</v>
      </c>
      <c r="J499" s="92"/>
      <c r="K499" s="122">
        <v>2008</v>
      </c>
      <c r="L499" s="92"/>
      <c r="M499" s="92"/>
      <c r="N499" s="92" t="s">
        <v>1788</v>
      </c>
      <c r="O499" s="92" t="s">
        <v>1789</v>
      </c>
      <c r="P499" s="92" t="s">
        <v>1497</v>
      </c>
      <c r="Q499" s="92"/>
      <c r="R499" s="92"/>
      <c r="S499" s="133">
        <v>39814</v>
      </c>
      <c r="T499" s="133">
        <v>39814</v>
      </c>
      <c r="U499" s="92" t="s">
        <v>909</v>
      </c>
      <c r="V499" s="122">
        <v>300</v>
      </c>
      <c r="W499" s="122">
        <v>14040</v>
      </c>
      <c r="X499" s="113">
        <v>2509</v>
      </c>
      <c r="Y499" s="122">
        <v>14046</v>
      </c>
      <c r="Z499" s="113">
        <v>2509</v>
      </c>
      <c r="AA499" s="113">
        <v>0</v>
      </c>
      <c r="AB499" s="113">
        <v>0</v>
      </c>
      <c r="AC499" s="122">
        <v>51260</v>
      </c>
      <c r="AD499" s="113">
        <v>0</v>
      </c>
      <c r="AE499" s="122" t="s">
        <v>433</v>
      </c>
      <c r="AF499" s="92"/>
      <c r="AG499" s="92"/>
      <c r="AH499" s="92" t="s">
        <v>2</v>
      </c>
      <c r="AI499" s="92" t="s">
        <v>1785</v>
      </c>
      <c r="AJ499" s="92" t="s">
        <v>1787</v>
      </c>
      <c r="AK499" s="92" t="s">
        <v>1779</v>
      </c>
      <c r="AL499" s="92">
        <v>0</v>
      </c>
      <c r="AM499" s="92">
        <v>0</v>
      </c>
    </row>
    <row r="500" spans="2:39">
      <c r="B500" s="122">
        <v>2149</v>
      </c>
      <c r="C500" s="132">
        <v>64724</v>
      </c>
      <c r="D500" s="122" t="s">
        <v>433</v>
      </c>
      <c r="E500" s="92" t="s">
        <v>1626</v>
      </c>
      <c r="F500" t="s">
        <v>907</v>
      </c>
      <c r="I500" s="122">
        <v>4</v>
      </c>
      <c r="J500" s="92"/>
      <c r="K500" s="122">
        <v>0</v>
      </c>
      <c r="L500" s="92"/>
      <c r="M500" s="92"/>
      <c r="N500" s="92" t="s">
        <v>646</v>
      </c>
      <c r="O500" s="92" t="s">
        <v>1789</v>
      </c>
      <c r="P500" s="92"/>
      <c r="Q500" s="92" t="s">
        <v>1796</v>
      </c>
      <c r="R500" s="92" t="s">
        <v>1816</v>
      </c>
      <c r="S500" s="133">
        <v>39755</v>
      </c>
      <c r="T500" s="133">
        <v>39755</v>
      </c>
      <c r="U500" s="92"/>
      <c r="V500" s="122">
        <v>700</v>
      </c>
      <c r="W500" s="122">
        <v>14050</v>
      </c>
      <c r="X500" s="113">
        <v>5200</v>
      </c>
      <c r="Y500" s="122">
        <v>14056</v>
      </c>
      <c r="Z500" s="113">
        <v>5200</v>
      </c>
      <c r="AA500" s="113">
        <v>0</v>
      </c>
      <c r="AB500" s="113">
        <v>0</v>
      </c>
      <c r="AC500" s="122">
        <v>54260</v>
      </c>
      <c r="AD500" s="113">
        <v>0</v>
      </c>
      <c r="AE500" s="122" t="s">
        <v>663</v>
      </c>
      <c r="AF500" s="92" t="s">
        <v>905</v>
      </c>
      <c r="AG500" s="92" t="s">
        <v>1212</v>
      </c>
      <c r="AH500" s="92" t="s">
        <v>2</v>
      </c>
      <c r="AI500" s="92" t="s">
        <v>1785</v>
      </c>
      <c r="AJ500" s="92" t="s">
        <v>1787</v>
      </c>
      <c r="AK500" s="92" t="s">
        <v>1779</v>
      </c>
      <c r="AL500" s="92">
        <v>0</v>
      </c>
      <c r="AM500" s="92">
        <v>0</v>
      </c>
    </row>
    <row r="501" spans="2:39">
      <c r="B501" s="122">
        <v>2149</v>
      </c>
      <c r="C501" s="132">
        <v>64709</v>
      </c>
      <c r="D501" s="122" t="s">
        <v>433</v>
      </c>
      <c r="E501" s="92" t="s">
        <v>1626</v>
      </c>
      <c r="F501" t="s">
        <v>906</v>
      </c>
      <c r="I501" s="122">
        <v>4</v>
      </c>
      <c r="J501" s="92"/>
      <c r="K501" s="122">
        <v>0</v>
      </c>
      <c r="L501" s="92"/>
      <c r="M501" s="92"/>
      <c r="N501" s="92" t="s">
        <v>646</v>
      </c>
      <c r="O501" s="92" t="s">
        <v>1789</v>
      </c>
      <c r="P501" s="92"/>
      <c r="Q501" s="92" t="s">
        <v>1793</v>
      </c>
      <c r="R501" s="92" t="s">
        <v>1816</v>
      </c>
      <c r="S501" s="133">
        <v>39755</v>
      </c>
      <c r="T501" s="133">
        <v>39755</v>
      </c>
      <c r="U501" s="92"/>
      <c r="V501" s="122">
        <v>700</v>
      </c>
      <c r="W501" s="122">
        <v>14050</v>
      </c>
      <c r="X501" s="113">
        <v>8600</v>
      </c>
      <c r="Y501" s="122">
        <v>14056</v>
      </c>
      <c r="Z501" s="113">
        <v>8600</v>
      </c>
      <c r="AA501" s="113">
        <v>0</v>
      </c>
      <c r="AB501" s="113">
        <v>0</v>
      </c>
      <c r="AC501" s="122">
        <v>54260</v>
      </c>
      <c r="AD501" s="113">
        <v>0</v>
      </c>
      <c r="AE501" s="122" t="s">
        <v>663</v>
      </c>
      <c r="AF501" s="92" t="s">
        <v>905</v>
      </c>
      <c r="AG501" s="92" t="s">
        <v>1212</v>
      </c>
      <c r="AH501" s="92" t="s">
        <v>2</v>
      </c>
      <c r="AI501" s="92" t="s">
        <v>1785</v>
      </c>
      <c r="AJ501" s="92" t="s">
        <v>1787</v>
      </c>
      <c r="AK501" s="92" t="s">
        <v>1779</v>
      </c>
      <c r="AL501" s="92">
        <v>0</v>
      </c>
      <c r="AM501" s="92">
        <v>0</v>
      </c>
    </row>
    <row r="502" spans="2:39">
      <c r="B502" s="122">
        <v>2149</v>
      </c>
      <c r="C502" s="132">
        <v>63316</v>
      </c>
      <c r="D502" s="122" t="s">
        <v>433</v>
      </c>
      <c r="E502" s="92" t="s">
        <v>1626</v>
      </c>
      <c r="F502" t="s">
        <v>904</v>
      </c>
      <c r="I502" s="122">
        <v>1</v>
      </c>
      <c r="J502" s="92"/>
      <c r="K502" s="122">
        <v>0</v>
      </c>
      <c r="L502" s="92" t="s">
        <v>903</v>
      </c>
      <c r="M502" s="92"/>
      <c r="N502" s="92" t="s">
        <v>1798</v>
      </c>
      <c r="O502" s="92" t="s">
        <v>1789</v>
      </c>
      <c r="P502" s="92"/>
      <c r="Q502" s="92"/>
      <c r="R502" s="92"/>
      <c r="S502" s="133">
        <v>39842</v>
      </c>
      <c r="T502" s="133">
        <v>39842</v>
      </c>
      <c r="U502" s="92" t="s">
        <v>902</v>
      </c>
      <c r="V502" s="122">
        <v>300</v>
      </c>
      <c r="W502" s="122">
        <v>14110</v>
      </c>
      <c r="X502" s="113">
        <v>9626.66</v>
      </c>
      <c r="Y502" s="122">
        <v>14116</v>
      </c>
      <c r="Z502" s="113">
        <v>9626.66</v>
      </c>
      <c r="AA502" s="113">
        <v>0</v>
      </c>
      <c r="AB502" s="113">
        <v>0</v>
      </c>
      <c r="AC502" s="122">
        <v>70260</v>
      </c>
      <c r="AD502" s="113">
        <v>0</v>
      </c>
      <c r="AE502" s="122" t="s">
        <v>433</v>
      </c>
      <c r="AF502" s="92"/>
      <c r="AG502" s="92"/>
      <c r="AH502" s="92" t="s">
        <v>2</v>
      </c>
      <c r="AI502" s="92" t="s">
        <v>1785</v>
      </c>
      <c r="AJ502" s="92" t="s">
        <v>1787</v>
      </c>
      <c r="AK502" s="92" t="s">
        <v>1779</v>
      </c>
      <c r="AL502" s="92">
        <v>0</v>
      </c>
      <c r="AM502" s="92">
        <v>0</v>
      </c>
    </row>
    <row r="503" spans="2:39">
      <c r="B503" s="122">
        <v>2149</v>
      </c>
      <c r="C503" s="132">
        <v>62303</v>
      </c>
      <c r="D503" s="122" t="s">
        <v>433</v>
      </c>
      <c r="E503" s="92" t="s">
        <v>1626</v>
      </c>
      <c r="F503" t="s">
        <v>901</v>
      </c>
      <c r="I503" s="122">
        <v>1</v>
      </c>
      <c r="J503" s="92"/>
      <c r="K503" s="122">
        <v>0</v>
      </c>
      <c r="L503" s="92"/>
      <c r="M503" s="92"/>
      <c r="N503" s="92" t="s">
        <v>1800</v>
      </c>
      <c r="O503" s="92" t="s">
        <v>1800</v>
      </c>
      <c r="P503" s="92"/>
      <c r="Q503" s="92"/>
      <c r="R503" s="92"/>
      <c r="S503" s="133">
        <v>39811</v>
      </c>
      <c r="T503" s="133">
        <v>39811</v>
      </c>
      <c r="U503" s="92" t="s">
        <v>900</v>
      </c>
      <c r="V503" s="122">
        <v>1000</v>
      </c>
      <c r="W503" s="122">
        <v>14090</v>
      </c>
      <c r="X503" s="113">
        <v>14371.67</v>
      </c>
      <c r="Y503" s="122">
        <v>14096</v>
      </c>
      <c r="Z503" s="113">
        <v>14371.67</v>
      </c>
      <c r="AA503" s="113">
        <v>0</v>
      </c>
      <c r="AB503" s="113">
        <v>0</v>
      </c>
      <c r="AC503" s="122">
        <v>57260</v>
      </c>
      <c r="AD503" s="113">
        <v>0</v>
      </c>
      <c r="AE503" s="122" t="s">
        <v>433</v>
      </c>
      <c r="AF503" s="92"/>
      <c r="AG503" s="92"/>
      <c r="AH503" s="92" t="s">
        <v>2</v>
      </c>
      <c r="AI503" s="92" t="s">
        <v>1785</v>
      </c>
      <c r="AJ503" s="92" t="s">
        <v>1787</v>
      </c>
      <c r="AK503" s="92" t="s">
        <v>1779</v>
      </c>
      <c r="AL503" s="92">
        <v>0</v>
      </c>
      <c r="AM503" s="92">
        <v>0</v>
      </c>
    </row>
    <row r="504" spans="2:39">
      <c r="B504" s="122">
        <v>2149</v>
      </c>
      <c r="C504" s="132">
        <v>59132</v>
      </c>
      <c r="D504" s="122" t="s">
        <v>433</v>
      </c>
      <c r="E504" s="92" t="s">
        <v>1626</v>
      </c>
      <c r="F504" t="s">
        <v>899</v>
      </c>
      <c r="I504" s="122">
        <v>21</v>
      </c>
      <c r="J504" s="92"/>
      <c r="K504" s="122">
        <v>0</v>
      </c>
      <c r="L504" s="92" t="s">
        <v>798</v>
      </c>
      <c r="M504" s="92"/>
      <c r="N504" s="92" t="s">
        <v>646</v>
      </c>
      <c r="O504" s="92" t="s">
        <v>1789</v>
      </c>
      <c r="P504" s="92"/>
      <c r="Q504" s="92" t="s">
        <v>1792</v>
      </c>
      <c r="R504" s="92" t="s">
        <v>1791</v>
      </c>
      <c r="S504" s="133">
        <v>39692</v>
      </c>
      <c r="T504" s="133">
        <v>39692</v>
      </c>
      <c r="U504" s="92" t="s">
        <v>898</v>
      </c>
      <c r="V504" s="122">
        <v>1200</v>
      </c>
      <c r="W504" s="122">
        <v>14050</v>
      </c>
      <c r="X504" s="113">
        <v>11820</v>
      </c>
      <c r="Y504" s="122">
        <v>14056</v>
      </c>
      <c r="Z504" s="113">
        <v>11820</v>
      </c>
      <c r="AA504" s="113">
        <v>0</v>
      </c>
      <c r="AB504" s="113">
        <v>0</v>
      </c>
      <c r="AC504" s="122">
        <v>54260</v>
      </c>
      <c r="AD504" s="113">
        <v>0</v>
      </c>
      <c r="AE504" s="122" t="s">
        <v>433</v>
      </c>
      <c r="AF504" s="92"/>
      <c r="AG504" s="92"/>
      <c r="AH504" s="92" t="s">
        <v>2</v>
      </c>
      <c r="AI504" s="92" t="s">
        <v>1785</v>
      </c>
      <c r="AJ504" s="92" t="s">
        <v>1787</v>
      </c>
      <c r="AK504" s="92" t="s">
        <v>1779</v>
      </c>
      <c r="AL504" s="92">
        <v>0</v>
      </c>
      <c r="AM504" s="92">
        <v>0</v>
      </c>
    </row>
    <row r="505" spans="2:39">
      <c r="B505" s="122">
        <v>2149</v>
      </c>
      <c r="C505" s="132">
        <v>59131</v>
      </c>
      <c r="D505" s="122" t="s">
        <v>433</v>
      </c>
      <c r="E505" s="92" t="s">
        <v>1626</v>
      </c>
      <c r="F505" t="s">
        <v>897</v>
      </c>
      <c r="I505" s="122">
        <v>11</v>
      </c>
      <c r="J505" s="92"/>
      <c r="K505" s="122">
        <v>0</v>
      </c>
      <c r="L505" s="92" t="s">
        <v>798</v>
      </c>
      <c r="M505" s="92"/>
      <c r="N505" s="92" t="s">
        <v>646</v>
      </c>
      <c r="O505" s="92" t="s">
        <v>1789</v>
      </c>
      <c r="P505" s="92"/>
      <c r="Q505" s="92" t="s">
        <v>1790</v>
      </c>
      <c r="R505" s="92" t="s">
        <v>1815</v>
      </c>
      <c r="S505" s="133">
        <v>39692</v>
      </c>
      <c r="T505" s="133">
        <v>39692</v>
      </c>
      <c r="U505" s="92" t="s">
        <v>896</v>
      </c>
      <c r="V505" s="122">
        <v>1200</v>
      </c>
      <c r="W505" s="122">
        <v>14050</v>
      </c>
      <c r="X505" s="113">
        <v>6128</v>
      </c>
      <c r="Y505" s="122">
        <v>14056</v>
      </c>
      <c r="Z505" s="113">
        <v>6128</v>
      </c>
      <c r="AA505" s="113">
        <v>0</v>
      </c>
      <c r="AB505" s="113">
        <v>0</v>
      </c>
      <c r="AC505" s="122">
        <v>54260</v>
      </c>
      <c r="AD505" s="113">
        <v>0</v>
      </c>
      <c r="AE505" s="122" t="s">
        <v>433</v>
      </c>
      <c r="AF505" s="92"/>
      <c r="AG505" s="92"/>
      <c r="AH505" s="92" t="s">
        <v>2</v>
      </c>
      <c r="AI505" s="92" t="s">
        <v>1785</v>
      </c>
      <c r="AJ505" s="92" t="s">
        <v>1787</v>
      </c>
      <c r="AK505" s="92" t="s">
        <v>1779</v>
      </c>
      <c r="AL505" s="92">
        <v>0</v>
      </c>
      <c r="AM505" s="92">
        <v>0</v>
      </c>
    </row>
    <row r="506" spans="2:39">
      <c r="B506" s="122">
        <v>2149</v>
      </c>
      <c r="C506" s="132">
        <v>59082</v>
      </c>
      <c r="D506" s="122" t="s">
        <v>433</v>
      </c>
      <c r="E506" s="92" t="s">
        <v>1626</v>
      </c>
      <c r="F506" t="s">
        <v>895</v>
      </c>
      <c r="I506" s="122">
        <v>100</v>
      </c>
      <c r="J506" s="92"/>
      <c r="K506" s="122">
        <v>0</v>
      </c>
      <c r="L506" s="92" t="s">
        <v>892</v>
      </c>
      <c r="M506" s="92"/>
      <c r="N506" s="92" t="s">
        <v>646</v>
      </c>
      <c r="O506" s="92" t="s">
        <v>1789</v>
      </c>
      <c r="P506" s="92"/>
      <c r="Q506" s="92"/>
      <c r="R506" s="92"/>
      <c r="S506" s="133">
        <v>39682</v>
      </c>
      <c r="T506" s="133">
        <v>39682</v>
      </c>
      <c r="U506" s="92" t="s">
        <v>894</v>
      </c>
      <c r="V506" s="122">
        <v>700</v>
      </c>
      <c r="W506" s="122">
        <v>14050</v>
      </c>
      <c r="X506" s="113">
        <v>5989.9</v>
      </c>
      <c r="Y506" s="122">
        <v>14056</v>
      </c>
      <c r="Z506" s="113">
        <v>5989.9</v>
      </c>
      <c r="AA506" s="113">
        <v>0</v>
      </c>
      <c r="AB506" s="113">
        <v>0</v>
      </c>
      <c r="AC506" s="122">
        <v>54260</v>
      </c>
      <c r="AD506" s="113">
        <v>0</v>
      </c>
      <c r="AE506" s="122" t="s">
        <v>433</v>
      </c>
      <c r="AF506" s="92"/>
      <c r="AG506" s="92"/>
      <c r="AH506" s="92" t="s">
        <v>2</v>
      </c>
      <c r="AI506" s="92" t="s">
        <v>1785</v>
      </c>
      <c r="AJ506" s="92" t="s">
        <v>1787</v>
      </c>
      <c r="AK506" s="92" t="s">
        <v>1779</v>
      </c>
      <c r="AL506" s="92">
        <v>0</v>
      </c>
      <c r="AM506" s="92">
        <v>0</v>
      </c>
    </row>
    <row r="507" spans="2:39">
      <c r="B507" s="122">
        <v>2149</v>
      </c>
      <c r="C507" s="132">
        <v>59081</v>
      </c>
      <c r="D507" s="122" t="s">
        <v>433</v>
      </c>
      <c r="E507" s="92" t="s">
        <v>1626</v>
      </c>
      <c r="F507" t="s">
        <v>893</v>
      </c>
      <c r="I507" s="122">
        <v>100</v>
      </c>
      <c r="J507" s="92"/>
      <c r="K507" s="122">
        <v>0</v>
      </c>
      <c r="L507" s="92" t="s">
        <v>892</v>
      </c>
      <c r="M507" s="92"/>
      <c r="N507" s="92" t="s">
        <v>646</v>
      </c>
      <c r="O507" s="92" t="s">
        <v>1789</v>
      </c>
      <c r="P507" s="92"/>
      <c r="Q507" s="92"/>
      <c r="R507" s="92"/>
      <c r="S507" s="133">
        <v>39682</v>
      </c>
      <c r="T507" s="133">
        <v>39682</v>
      </c>
      <c r="U507" s="92" t="s">
        <v>884</v>
      </c>
      <c r="V507" s="122">
        <v>700</v>
      </c>
      <c r="W507" s="122">
        <v>14050</v>
      </c>
      <c r="X507" s="113">
        <v>4363.8999999999996</v>
      </c>
      <c r="Y507" s="122">
        <v>14056</v>
      </c>
      <c r="Z507" s="113">
        <v>4363.8999999999996</v>
      </c>
      <c r="AA507" s="113">
        <v>0</v>
      </c>
      <c r="AB507" s="113">
        <v>0</v>
      </c>
      <c r="AC507" s="122">
        <v>54260</v>
      </c>
      <c r="AD507" s="113">
        <v>0</v>
      </c>
      <c r="AE507" s="122" t="s">
        <v>433</v>
      </c>
      <c r="AF507" s="92"/>
      <c r="AG507" s="92"/>
      <c r="AH507" s="92" t="s">
        <v>2</v>
      </c>
      <c r="AI507" s="92" t="s">
        <v>1785</v>
      </c>
      <c r="AJ507" s="92" t="s">
        <v>1787</v>
      </c>
      <c r="AK507" s="92" t="s">
        <v>1779</v>
      </c>
      <c r="AL507" s="92">
        <v>0</v>
      </c>
      <c r="AM507" s="92">
        <v>0</v>
      </c>
    </row>
    <row r="508" spans="2:39">
      <c r="B508" s="122">
        <v>2149</v>
      </c>
      <c r="C508" s="132">
        <v>59080</v>
      </c>
      <c r="D508" s="122" t="s">
        <v>433</v>
      </c>
      <c r="E508" s="92" t="s">
        <v>1626</v>
      </c>
      <c r="F508" t="s">
        <v>891</v>
      </c>
      <c r="I508" s="122">
        <v>200</v>
      </c>
      <c r="J508" s="92"/>
      <c r="K508" s="122">
        <v>0</v>
      </c>
      <c r="L508" s="92" t="s">
        <v>844</v>
      </c>
      <c r="M508" s="92"/>
      <c r="N508" s="92" t="s">
        <v>646</v>
      </c>
      <c r="O508" s="92" t="s">
        <v>1789</v>
      </c>
      <c r="P508" s="92"/>
      <c r="Q508" s="92"/>
      <c r="R508" s="92"/>
      <c r="S508" s="133">
        <v>39682</v>
      </c>
      <c r="T508" s="133">
        <v>39682</v>
      </c>
      <c r="U508" s="92" t="s">
        <v>884</v>
      </c>
      <c r="V508" s="122">
        <v>700</v>
      </c>
      <c r="W508" s="122">
        <v>14050</v>
      </c>
      <c r="X508" s="113">
        <v>9680.1200000000008</v>
      </c>
      <c r="Y508" s="122">
        <v>14056</v>
      </c>
      <c r="Z508" s="113">
        <v>9680.1200000000008</v>
      </c>
      <c r="AA508" s="113">
        <v>0</v>
      </c>
      <c r="AB508" s="113">
        <v>0</v>
      </c>
      <c r="AC508" s="122">
        <v>54260</v>
      </c>
      <c r="AD508" s="113">
        <v>0</v>
      </c>
      <c r="AE508" s="122" t="s">
        <v>433</v>
      </c>
      <c r="AF508" s="92"/>
      <c r="AG508" s="92"/>
      <c r="AH508" s="92" t="s">
        <v>2</v>
      </c>
      <c r="AI508" s="92" t="s">
        <v>1785</v>
      </c>
      <c r="AJ508" s="92" t="s">
        <v>1787</v>
      </c>
      <c r="AK508" s="92" t="s">
        <v>1779</v>
      </c>
      <c r="AL508" s="92">
        <v>0</v>
      </c>
      <c r="AM508" s="92">
        <v>0</v>
      </c>
    </row>
    <row r="509" spans="2:39">
      <c r="B509" s="122">
        <v>2149</v>
      </c>
      <c r="C509" s="132">
        <v>58961</v>
      </c>
      <c r="D509" s="122">
        <v>56939</v>
      </c>
      <c r="E509" s="92" t="s">
        <v>1626</v>
      </c>
      <c r="F509" t="s">
        <v>890</v>
      </c>
      <c r="I509" s="122">
        <v>1</v>
      </c>
      <c r="J509" s="92" t="s">
        <v>888</v>
      </c>
      <c r="K509" s="122">
        <v>2007</v>
      </c>
      <c r="L509" s="92"/>
      <c r="M509" s="92"/>
      <c r="N509" s="92" t="s">
        <v>1788</v>
      </c>
      <c r="O509" s="92" t="s">
        <v>1789</v>
      </c>
      <c r="P509" s="92" t="s">
        <v>875</v>
      </c>
      <c r="Q509" s="92"/>
      <c r="R509" s="92"/>
      <c r="S509" s="133">
        <v>39598</v>
      </c>
      <c r="T509" s="133">
        <v>39598</v>
      </c>
      <c r="U509" s="92" t="s">
        <v>874</v>
      </c>
      <c r="V509" s="122">
        <v>1000</v>
      </c>
      <c r="W509" s="122">
        <v>14040</v>
      </c>
      <c r="X509" s="113">
        <v>1040.6400000000001</v>
      </c>
      <c r="Y509" s="122">
        <v>14046</v>
      </c>
      <c r="Z509" s="113">
        <v>1040.6400000000001</v>
      </c>
      <c r="AA509" s="113">
        <v>0</v>
      </c>
      <c r="AB509" s="113">
        <v>0</v>
      </c>
      <c r="AC509" s="122">
        <v>51260</v>
      </c>
      <c r="AD509" s="113">
        <v>0</v>
      </c>
      <c r="AE509" s="122" t="s">
        <v>433</v>
      </c>
      <c r="AF509" s="92"/>
      <c r="AG509" s="92" t="s">
        <v>587</v>
      </c>
      <c r="AH509" s="92" t="s">
        <v>2</v>
      </c>
      <c r="AI509" s="92" t="s">
        <v>1785</v>
      </c>
      <c r="AJ509" s="92" t="s">
        <v>1787</v>
      </c>
      <c r="AK509" s="92" t="s">
        <v>1779</v>
      </c>
      <c r="AL509" s="92">
        <v>0</v>
      </c>
      <c r="AM509" s="92">
        <v>0</v>
      </c>
    </row>
    <row r="510" spans="2:39">
      <c r="B510" s="122">
        <v>2149</v>
      </c>
      <c r="C510" s="132">
        <v>58326</v>
      </c>
      <c r="D510" s="122">
        <v>56939</v>
      </c>
      <c r="E510" s="92" t="s">
        <v>1626</v>
      </c>
      <c r="F510" t="s">
        <v>889</v>
      </c>
      <c r="I510" s="122">
        <v>1</v>
      </c>
      <c r="J510" s="92" t="s">
        <v>888</v>
      </c>
      <c r="K510" s="122">
        <v>2008</v>
      </c>
      <c r="L510" s="92"/>
      <c r="M510" s="92"/>
      <c r="N510" s="92" t="s">
        <v>1788</v>
      </c>
      <c r="O510" s="92" t="s">
        <v>1789</v>
      </c>
      <c r="P510" s="92" t="s">
        <v>875</v>
      </c>
      <c r="Q510" s="92"/>
      <c r="R510" s="92"/>
      <c r="S510" s="133">
        <v>39644</v>
      </c>
      <c r="T510" s="133">
        <v>39644</v>
      </c>
      <c r="U510" s="92" t="s">
        <v>874</v>
      </c>
      <c r="V510" s="122">
        <v>910</v>
      </c>
      <c r="W510" s="122">
        <v>14040</v>
      </c>
      <c r="X510" s="113">
        <v>10731.6</v>
      </c>
      <c r="Y510" s="122">
        <v>14046</v>
      </c>
      <c r="Z510" s="113">
        <v>10731.6</v>
      </c>
      <c r="AA510" s="113">
        <v>0</v>
      </c>
      <c r="AB510" s="113">
        <v>0</v>
      </c>
      <c r="AC510" s="122">
        <v>51260</v>
      </c>
      <c r="AD510" s="113">
        <v>0</v>
      </c>
      <c r="AE510" s="122" t="s">
        <v>433</v>
      </c>
      <c r="AF510" s="92"/>
      <c r="AG510" s="92" t="s">
        <v>587</v>
      </c>
      <c r="AH510" s="92" t="s">
        <v>2</v>
      </c>
      <c r="AI510" s="92" t="s">
        <v>1785</v>
      </c>
      <c r="AJ510" s="92" t="s">
        <v>1787</v>
      </c>
      <c r="AK510" s="92" t="s">
        <v>1779</v>
      </c>
      <c r="AL510" s="92">
        <v>0</v>
      </c>
      <c r="AM510" s="92">
        <v>0</v>
      </c>
    </row>
    <row r="511" spans="2:39">
      <c r="B511" s="122">
        <v>2149</v>
      </c>
      <c r="C511" s="132">
        <v>58311</v>
      </c>
      <c r="D511" s="122">
        <v>57799</v>
      </c>
      <c r="E511" s="92" t="s">
        <v>1626</v>
      </c>
      <c r="F511" t="s">
        <v>887</v>
      </c>
      <c r="I511" s="122">
        <v>1</v>
      </c>
      <c r="J511" s="92"/>
      <c r="K511" s="122">
        <v>0</v>
      </c>
      <c r="L511" s="92"/>
      <c r="M511" s="92"/>
      <c r="N511" s="92" t="s">
        <v>646</v>
      </c>
      <c r="O511" s="92" t="s">
        <v>1789</v>
      </c>
      <c r="P511" s="92"/>
      <c r="Q511" s="92"/>
      <c r="R511" s="92"/>
      <c r="S511" s="133">
        <v>39652</v>
      </c>
      <c r="T511" s="133">
        <v>39652</v>
      </c>
      <c r="U511" s="92" t="s">
        <v>884</v>
      </c>
      <c r="V511" s="122">
        <v>611</v>
      </c>
      <c r="W511" s="122">
        <v>14050</v>
      </c>
      <c r="X511" s="113">
        <v>1112</v>
      </c>
      <c r="Y511" s="122">
        <v>14056</v>
      </c>
      <c r="Z511" s="113">
        <v>1112</v>
      </c>
      <c r="AA511" s="113">
        <v>0</v>
      </c>
      <c r="AB511" s="113">
        <v>0</v>
      </c>
      <c r="AC511" s="122">
        <v>54260</v>
      </c>
      <c r="AD511" s="113">
        <v>0</v>
      </c>
      <c r="AE511" s="122" t="s">
        <v>433</v>
      </c>
      <c r="AF511" s="92"/>
      <c r="AG511" s="92"/>
      <c r="AH511" s="92" t="s">
        <v>2</v>
      </c>
      <c r="AI511" s="92" t="s">
        <v>1785</v>
      </c>
      <c r="AJ511" s="92" t="s">
        <v>1787</v>
      </c>
      <c r="AK511" s="92" t="s">
        <v>1779</v>
      </c>
      <c r="AL511" s="92">
        <v>0</v>
      </c>
      <c r="AM511" s="92">
        <v>0</v>
      </c>
    </row>
    <row r="512" spans="2:39">
      <c r="B512" s="122">
        <v>2149</v>
      </c>
      <c r="C512" s="132">
        <v>57799</v>
      </c>
      <c r="D512" s="122" t="s">
        <v>433</v>
      </c>
      <c r="E512" s="92" t="s">
        <v>1626</v>
      </c>
      <c r="F512" t="s">
        <v>886</v>
      </c>
      <c r="I512" s="122">
        <v>100</v>
      </c>
      <c r="J512" s="92"/>
      <c r="K512" s="122">
        <v>0</v>
      </c>
      <c r="L512" s="92" t="s">
        <v>844</v>
      </c>
      <c r="M512" s="92"/>
      <c r="N512" s="92" t="s">
        <v>646</v>
      </c>
      <c r="O512" s="92" t="s">
        <v>1789</v>
      </c>
      <c r="P512" s="92"/>
      <c r="Q512" s="92"/>
      <c r="R512" s="92"/>
      <c r="S512" s="133">
        <v>39630</v>
      </c>
      <c r="T512" s="133">
        <v>39630</v>
      </c>
      <c r="U512" s="92" t="s">
        <v>884</v>
      </c>
      <c r="V512" s="122">
        <v>700</v>
      </c>
      <c r="W512" s="122">
        <v>14050</v>
      </c>
      <c r="X512" s="113">
        <v>6206.85</v>
      </c>
      <c r="Y512" s="122">
        <v>14056</v>
      </c>
      <c r="Z512" s="113">
        <v>6206.85</v>
      </c>
      <c r="AA512" s="113">
        <v>0</v>
      </c>
      <c r="AB512" s="113">
        <v>0</v>
      </c>
      <c r="AC512" s="122">
        <v>54260</v>
      </c>
      <c r="AD512" s="113">
        <v>0</v>
      </c>
      <c r="AE512" s="122" t="s">
        <v>433</v>
      </c>
      <c r="AF512" s="92"/>
      <c r="AG512" s="92"/>
      <c r="AH512" s="92" t="s">
        <v>2</v>
      </c>
      <c r="AI512" s="92" t="s">
        <v>1785</v>
      </c>
      <c r="AJ512" s="92" t="s">
        <v>1787</v>
      </c>
      <c r="AK512" s="92" t="s">
        <v>1779</v>
      </c>
      <c r="AL512" s="92">
        <v>0</v>
      </c>
      <c r="AM512" s="92">
        <v>0</v>
      </c>
    </row>
    <row r="513" spans="2:39">
      <c r="B513" s="122">
        <v>2149</v>
      </c>
      <c r="C513" s="132">
        <v>57798</v>
      </c>
      <c r="D513" s="122" t="s">
        <v>433</v>
      </c>
      <c r="E513" s="92" t="s">
        <v>1626</v>
      </c>
      <c r="F513" t="s">
        <v>885</v>
      </c>
      <c r="I513" s="122">
        <v>100</v>
      </c>
      <c r="J513" s="92"/>
      <c r="K513" s="122">
        <v>0</v>
      </c>
      <c r="L513" s="92" t="s">
        <v>844</v>
      </c>
      <c r="M513" s="92"/>
      <c r="N513" s="92" t="s">
        <v>646</v>
      </c>
      <c r="O513" s="92" t="s">
        <v>1789</v>
      </c>
      <c r="P513" s="92"/>
      <c r="Q513" s="92"/>
      <c r="R513" s="92"/>
      <c r="S513" s="133">
        <v>39630</v>
      </c>
      <c r="T513" s="133">
        <v>39630</v>
      </c>
      <c r="U513" s="92" t="s">
        <v>884</v>
      </c>
      <c r="V513" s="122">
        <v>700</v>
      </c>
      <c r="W513" s="122">
        <v>14050</v>
      </c>
      <c r="X513" s="113">
        <v>5504.87</v>
      </c>
      <c r="Y513" s="122">
        <v>14056</v>
      </c>
      <c r="Z513" s="113">
        <v>5504.87</v>
      </c>
      <c r="AA513" s="113">
        <v>0</v>
      </c>
      <c r="AB513" s="113">
        <v>0</v>
      </c>
      <c r="AC513" s="122">
        <v>54260</v>
      </c>
      <c r="AD513" s="113">
        <v>0</v>
      </c>
      <c r="AE513" s="122" t="s">
        <v>433</v>
      </c>
      <c r="AF513" s="92"/>
      <c r="AG513" s="92"/>
      <c r="AH513" s="92" t="s">
        <v>2</v>
      </c>
      <c r="AI513" s="92" t="s">
        <v>1785</v>
      </c>
      <c r="AJ513" s="92" t="s">
        <v>1787</v>
      </c>
      <c r="AK513" s="92" t="s">
        <v>1779</v>
      </c>
      <c r="AL513" s="92">
        <v>0</v>
      </c>
      <c r="AM513" s="92">
        <v>0</v>
      </c>
    </row>
    <row r="514" spans="2:39">
      <c r="B514" s="122">
        <v>2149</v>
      </c>
      <c r="C514" s="132">
        <v>57646</v>
      </c>
      <c r="D514" s="122" t="s">
        <v>433</v>
      </c>
      <c r="E514" s="92" t="s">
        <v>1626</v>
      </c>
      <c r="F514" t="s">
        <v>883</v>
      </c>
      <c r="I514" s="122">
        <v>1</v>
      </c>
      <c r="J514" s="92"/>
      <c r="K514" s="122">
        <v>0</v>
      </c>
      <c r="L514" s="92" t="s">
        <v>798</v>
      </c>
      <c r="M514" s="92"/>
      <c r="N514" s="92" t="s">
        <v>646</v>
      </c>
      <c r="O514" s="92" t="s">
        <v>1789</v>
      </c>
      <c r="P514" s="92"/>
      <c r="Q514" s="92" t="s">
        <v>1796</v>
      </c>
      <c r="R514" s="92" t="s">
        <v>1794</v>
      </c>
      <c r="S514" s="133">
        <v>39601</v>
      </c>
      <c r="T514" s="133">
        <v>39601</v>
      </c>
      <c r="U514" s="92" t="s">
        <v>882</v>
      </c>
      <c r="V514" s="122">
        <v>1200</v>
      </c>
      <c r="W514" s="122">
        <v>14050</v>
      </c>
      <c r="X514" s="113">
        <v>4899</v>
      </c>
      <c r="Y514" s="122">
        <v>14056</v>
      </c>
      <c r="Z514" s="113">
        <v>4899</v>
      </c>
      <c r="AA514" s="113">
        <v>0</v>
      </c>
      <c r="AB514" s="113">
        <v>0</v>
      </c>
      <c r="AC514" s="122">
        <v>54260</v>
      </c>
      <c r="AD514" s="113">
        <v>0</v>
      </c>
      <c r="AE514" s="122" t="s">
        <v>433</v>
      </c>
      <c r="AF514" s="92"/>
      <c r="AG514" s="92"/>
      <c r="AH514" s="92" t="s">
        <v>2</v>
      </c>
      <c r="AI514" s="92" t="s">
        <v>1785</v>
      </c>
      <c r="AJ514" s="92" t="s">
        <v>1787</v>
      </c>
      <c r="AK514" s="92" t="s">
        <v>1779</v>
      </c>
      <c r="AL514" s="92">
        <v>0</v>
      </c>
      <c r="AM514" s="92">
        <v>0</v>
      </c>
    </row>
    <row r="515" spans="2:39">
      <c r="B515" s="122">
        <v>2149</v>
      </c>
      <c r="C515" s="132">
        <v>56997</v>
      </c>
      <c r="D515" s="122" t="s">
        <v>433</v>
      </c>
      <c r="E515" s="92" t="s">
        <v>1626</v>
      </c>
      <c r="F515" t="s">
        <v>881</v>
      </c>
      <c r="I515" s="122">
        <v>1</v>
      </c>
      <c r="J515" s="92"/>
      <c r="K515" s="122">
        <v>0</v>
      </c>
      <c r="L515" s="92" t="s">
        <v>880</v>
      </c>
      <c r="M515" s="92"/>
      <c r="N515" s="92" t="s">
        <v>1799</v>
      </c>
      <c r="O515" s="92" t="s">
        <v>1789</v>
      </c>
      <c r="P515" s="92"/>
      <c r="Q515" s="92"/>
      <c r="R515" s="92"/>
      <c r="S515" s="133">
        <v>39588</v>
      </c>
      <c r="T515" s="133">
        <v>39588</v>
      </c>
      <c r="U515" s="92" t="s">
        <v>879</v>
      </c>
      <c r="V515" s="122">
        <v>305</v>
      </c>
      <c r="W515" s="122">
        <v>14080</v>
      </c>
      <c r="X515" s="113">
        <v>2786.96</v>
      </c>
      <c r="Y515" s="122">
        <v>14086</v>
      </c>
      <c r="Z515" s="113">
        <v>2786.96</v>
      </c>
      <c r="AA515" s="113">
        <v>0</v>
      </c>
      <c r="AB515" s="113">
        <v>0</v>
      </c>
      <c r="AC515" s="122">
        <v>57260</v>
      </c>
      <c r="AD515" s="113">
        <v>0</v>
      </c>
      <c r="AE515" s="122" t="s">
        <v>433</v>
      </c>
      <c r="AF515" s="92"/>
      <c r="AG515" s="92"/>
      <c r="AH515" s="92" t="s">
        <v>2</v>
      </c>
      <c r="AI515" s="92" t="s">
        <v>1785</v>
      </c>
      <c r="AJ515" s="92" t="s">
        <v>1787</v>
      </c>
      <c r="AK515" s="92" t="s">
        <v>1779</v>
      </c>
      <c r="AL515" s="92">
        <v>0</v>
      </c>
      <c r="AM515" s="92">
        <v>0</v>
      </c>
    </row>
    <row r="516" spans="2:39">
      <c r="B516" s="122">
        <v>2149</v>
      </c>
      <c r="C516" s="132">
        <v>56939</v>
      </c>
      <c r="D516" s="122" t="s">
        <v>433</v>
      </c>
      <c r="E516" s="92" t="s">
        <v>1626</v>
      </c>
      <c r="F516" t="s">
        <v>878</v>
      </c>
      <c r="I516" s="122">
        <v>1</v>
      </c>
      <c r="J516" s="92" t="s">
        <v>588</v>
      </c>
      <c r="K516" s="122">
        <v>2007</v>
      </c>
      <c r="L516" s="92" t="s">
        <v>877</v>
      </c>
      <c r="M516" s="92" t="s">
        <v>876</v>
      </c>
      <c r="N516" s="92" t="s">
        <v>1788</v>
      </c>
      <c r="O516" s="92" t="s">
        <v>1789</v>
      </c>
      <c r="P516" s="92" t="s">
        <v>875</v>
      </c>
      <c r="Q516" s="92"/>
      <c r="R516" s="92"/>
      <c r="S516" s="133">
        <v>39598</v>
      </c>
      <c r="T516" s="133">
        <v>39598</v>
      </c>
      <c r="U516" s="92" t="s">
        <v>874</v>
      </c>
      <c r="V516" s="122">
        <v>1000</v>
      </c>
      <c r="W516" s="122">
        <v>14040</v>
      </c>
      <c r="X516" s="113">
        <v>35260.269999999997</v>
      </c>
      <c r="Y516" s="122">
        <v>14046</v>
      </c>
      <c r="Z516" s="113">
        <v>35260.269999999997</v>
      </c>
      <c r="AA516" s="113">
        <v>0</v>
      </c>
      <c r="AB516" s="113">
        <v>0</v>
      </c>
      <c r="AC516" s="122">
        <v>51260</v>
      </c>
      <c r="AD516" s="113">
        <v>0</v>
      </c>
      <c r="AE516" s="122" t="s">
        <v>433</v>
      </c>
      <c r="AF516" s="92"/>
      <c r="AG516" s="92" t="s">
        <v>587</v>
      </c>
      <c r="AH516" s="92" t="s">
        <v>2</v>
      </c>
      <c r="AI516" s="92" t="s">
        <v>1785</v>
      </c>
      <c r="AJ516" s="92" t="s">
        <v>1787</v>
      </c>
      <c r="AK516" s="92" t="s">
        <v>1779</v>
      </c>
      <c r="AL516" s="92">
        <v>0</v>
      </c>
      <c r="AM516" s="92">
        <v>0</v>
      </c>
    </row>
    <row r="517" spans="2:39">
      <c r="B517" s="122">
        <v>2149</v>
      </c>
      <c r="C517" s="132">
        <v>56508</v>
      </c>
      <c r="D517" s="122" t="s">
        <v>433</v>
      </c>
      <c r="E517" s="92" t="s">
        <v>1626</v>
      </c>
      <c r="F517" t="s">
        <v>873</v>
      </c>
      <c r="I517" s="122">
        <v>1</v>
      </c>
      <c r="J517" s="92"/>
      <c r="K517" s="122">
        <v>0</v>
      </c>
      <c r="L517" s="92"/>
      <c r="M517" s="92"/>
      <c r="N517" s="92" t="s">
        <v>1801</v>
      </c>
      <c r="O517" s="92" t="s">
        <v>1789</v>
      </c>
      <c r="P517" s="92"/>
      <c r="Q517" s="92"/>
      <c r="R517" s="92"/>
      <c r="S517" s="133">
        <v>39448</v>
      </c>
      <c r="T517" s="133">
        <v>39448</v>
      </c>
      <c r="U517" s="92" t="s">
        <v>872</v>
      </c>
      <c r="V517" s="122">
        <v>500</v>
      </c>
      <c r="W517" s="122">
        <v>14070</v>
      </c>
      <c r="X517" s="113">
        <v>1460.78</v>
      </c>
      <c r="Y517" s="122">
        <v>14076</v>
      </c>
      <c r="Z517" s="113">
        <v>1460.78</v>
      </c>
      <c r="AA517" s="113">
        <v>0</v>
      </c>
      <c r="AB517" s="113">
        <v>0</v>
      </c>
      <c r="AC517" s="122">
        <v>51260</v>
      </c>
      <c r="AD517" s="113">
        <v>0</v>
      </c>
      <c r="AE517" s="122" t="s">
        <v>433</v>
      </c>
      <c r="AF517" s="92">
        <v>0</v>
      </c>
      <c r="AG517" s="92"/>
      <c r="AH517" s="92" t="s">
        <v>2</v>
      </c>
      <c r="AI517" s="92" t="s">
        <v>1785</v>
      </c>
      <c r="AJ517" s="92" t="s">
        <v>1787</v>
      </c>
      <c r="AK517" s="92" t="s">
        <v>1779</v>
      </c>
      <c r="AL517" s="92">
        <v>0</v>
      </c>
      <c r="AM517" s="92">
        <v>0</v>
      </c>
    </row>
    <row r="518" spans="2:39">
      <c r="B518" s="122">
        <v>2149</v>
      </c>
      <c r="C518" s="132">
        <v>56431</v>
      </c>
      <c r="D518" s="122">
        <v>54788</v>
      </c>
      <c r="E518" s="92" t="s">
        <v>1626</v>
      </c>
      <c r="F518" t="s">
        <v>871</v>
      </c>
      <c r="I518" s="122">
        <v>1</v>
      </c>
      <c r="J518" s="92" t="s">
        <v>870</v>
      </c>
      <c r="K518" s="122">
        <v>2007</v>
      </c>
      <c r="L518" s="92"/>
      <c r="M518" s="92"/>
      <c r="N518" s="92" t="s">
        <v>1788</v>
      </c>
      <c r="O518" s="92" t="s">
        <v>1789</v>
      </c>
      <c r="P518" s="92" t="s">
        <v>1814</v>
      </c>
      <c r="Q518" s="92"/>
      <c r="R518" s="92"/>
      <c r="S518" s="133">
        <v>39522</v>
      </c>
      <c r="T518" s="133">
        <v>39522</v>
      </c>
      <c r="U518" s="92" t="s">
        <v>853</v>
      </c>
      <c r="V518" s="122">
        <v>906</v>
      </c>
      <c r="W518" s="122">
        <v>14040</v>
      </c>
      <c r="X518" s="113">
        <v>141041.04999999999</v>
      </c>
      <c r="Y518" s="122">
        <v>14046</v>
      </c>
      <c r="Z518" s="113">
        <v>141041.04999999999</v>
      </c>
      <c r="AA518" s="113">
        <v>0</v>
      </c>
      <c r="AB518" s="113">
        <v>0</v>
      </c>
      <c r="AC518" s="122">
        <v>51260</v>
      </c>
      <c r="AD518" s="113">
        <v>0</v>
      </c>
      <c r="AE518" s="122" t="s">
        <v>433</v>
      </c>
      <c r="AF518" s="92">
        <v>0</v>
      </c>
      <c r="AG518" s="92">
        <v>10</v>
      </c>
      <c r="AH518" s="92" t="s">
        <v>2</v>
      </c>
      <c r="AI518" s="92" t="s">
        <v>1785</v>
      </c>
      <c r="AJ518" s="92" t="s">
        <v>1787</v>
      </c>
      <c r="AK518" s="92" t="s">
        <v>1779</v>
      </c>
      <c r="AL518" s="92">
        <v>0</v>
      </c>
      <c r="AM518" s="92">
        <v>0</v>
      </c>
    </row>
    <row r="519" spans="2:39">
      <c r="B519" s="122">
        <v>2149</v>
      </c>
      <c r="C519" s="132">
        <v>56219</v>
      </c>
      <c r="D519" s="122" t="s">
        <v>433</v>
      </c>
      <c r="E519" s="92" t="s">
        <v>1626</v>
      </c>
      <c r="F519" t="s">
        <v>869</v>
      </c>
      <c r="I519" s="122">
        <v>3</v>
      </c>
      <c r="J519" s="92"/>
      <c r="K519" s="122">
        <v>0</v>
      </c>
      <c r="L519" s="92" t="s">
        <v>798</v>
      </c>
      <c r="M519" s="92"/>
      <c r="N519" s="92" t="s">
        <v>646</v>
      </c>
      <c r="O519" s="92" t="s">
        <v>1789</v>
      </c>
      <c r="P519" s="92"/>
      <c r="Q519" s="92" t="s">
        <v>1796</v>
      </c>
      <c r="R519" s="92" t="s">
        <v>1794</v>
      </c>
      <c r="S519" s="133">
        <v>39538</v>
      </c>
      <c r="T519" s="133">
        <v>39538</v>
      </c>
      <c r="U519" s="92" t="s">
        <v>868</v>
      </c>
      <c r="V519" s="122">
        <v>1200</v>
      </c>
      <c r="W519" s="122">
        <v>14050</v>
      </c>
      <c r="X519" s="113">
        <v>13735</v>
      </c>
      <c r="Y519" s="122">
        <v>14056</v>
      </c>
      <c r="Z519" s="113">
        <v>13735</v>
      </c>
      <c r="AA519" s="113">
        <v>0</v>
      </c>
      <c r="AB519" s="113">
        <v>0</v>
      </c>
      <c r="AC519" s="122">
        <v>54260</v>
      </c>
      <c r="AD519" s="113">
        <v>0</v>
      </c>
      <c r="AE519" s="122" t="s">
        <v>433</v>
      </c>
      <c r="AF519" s="92"/>
      <c r="AG519" s="92"/>
      <c r="AH519" s="92" t="s">
        <v>2</v>
      </c>
      <c r="AI519" s="92" t="s">
        <v>1785</v>
      </c>
      <c r="AJ519" s="92" t="s">
        <v>1787</v>
      </c>
      <c r="AK519" s="92" t="s">
        <v>1779</v>
      </c>
      <c r="AL519" s="92">
        <v>0</v>
      </c>
      <c r="AM519" s="92">
        <v>0</v>
      </c>
    </row>
    <row r="520" spans="2:39">
      <c r="B520" s="122">
        <v>2149</v>
      </c>
      <c r="C520" s="132">
        <v>55949</v>
      </c>
      <c r="D520" s="122" t="s">
        <v>433</v>
      </c>
      <c r="E520" s="92" t="s">
        <v>1626</v>
      </c>
      <c r="F520" t="s">
        <v>867</v>
      </c>
      <c r="I520" s="122">
        <v>100</v>
      </c>
      <c r="J520" s="92"/>
      <c r="K520" s="122">
        <v>0</v>
      </c>
      <c r="L520" s="92" t="s">
        <v>844</v>
      </c>
      <c r="M520" s="92"/>
      <c r="N520" s="92" t="s">
        <v>646</v>
      </c>
      <c r="O520" s="92" t="s">
        <v>1789</v>
      </c>
      <c r="P520" s="92"/>
      <c r="Q520" s="92"/>
      <c r="R520" s="92"/>
      <c r="S520" s="133">
        <v>39448</v>
      </c>
      <c r="T520" s="133">
        <v>39448</v>
      </c>
      <c r="U520" s="92" t="s">
        <v>866</v>
      </c>
      <c r="V520" s="122">
        <v>700</v>
      </c>
      <c r="W520" s="122">
        <v>14050</v>
      </c>
      <c r="X520" s="113">
        <v>5360.85</v>
      </c>
      <c r="Y520" s="122">
        <v>14056</v>
      </c>
      <c r="Z520" s="113">
        <v>5360.85</v>
      </c>
      <c r="AA520" s="113">
        <v>0</v>
      </c>
      <c r="AB520" s="113">
        <v>0</v>
      </c>
      <c r="AC520" s="122">
        <v>54260</v>
      </c>
      <c r="AD520" s="113">
        <v>0</v>
      </c>
      <c r="AE520" s="122" t="s">
        <v>433</v>
      </c>
      <c r="AF520" s="92"/>
      <c r="AG520" s="92"/>
      <c r="AH520" s="92" t="s">
        <v>2</v>
      </c>
      <c r="AI520" s="92" t="s">
        <v>1785</v>
      </c>
      <c r="AJ520" s="92" t="s">
        <v>1787</v>
      </c>
      <c r="AK520" s="92" t="s">
        <v>1779</v>
      </c>
      <c r="AL520" s="92">
        <v>0</v>
      </c>
      <c r="AM520" s="92">
        <v>0</v>
      </c>
    </row>
    <row r="521" spans="2:39">
      <c r="B521" s="122">
        <v>2149</v>
      </c>
      <c r="C521" s="132">
        <v>55384</v>
      </c>
      <c r="D521" s="122" t="s">
        <v>433</v>
      </c>
      <c r="E521" s="92" t="s">
        <v>1626</v>
      </c>
      <c r="F521" t="s">
        <v>865</v>
      </c>
      <c r="I521" s="122">
        <v>21</v>
      </c>
      <c r="J521" s="92">
        <v>0</v>
      </c>
      <c r="K521" s="122">
        <v>0</v>
      </c>
      <c r="L521" s="92"/>
      <c r="M521" s="92"/>
      <c r="N521" s="92" t="s">
        <v>646</v>
      </c>
      <c r="O521" s="92" t="s">
        <v>1789</v>
      </c>
      <c r="P521" s="92"/>
      <c r="Q521" s="92" t="s">
        <v>1792</v>
      </c>
      <c r="R521" s="92" t="s">
        <v>1791</v>
      </c>
      <c r="S521" s="133">
        <v>39448</v>
      </c>
      <c r="T521" s="133">
        <v>39448</v>
      </c>
      <c r="U521" s="92" t="s">
        <v>864</v>
      </c>
      <c r="V521" s="122">
        <v>1110</v>
      </c>
      <c r="W521" s="122">
        <v>14050</v>
      </c>
      <c r="X521" s="113">
        <v>8736</v>
      </c>
      <c r="Y521" s="122">
        <v>14056</v>
      </c>
      <c r="Z521" s="113">
        <v>8736</v>
      </c>
      <c r="AA521" s="113">
        <v>0</v>
      </c>
      <c r="AB521" s="113">
        <v>0</v>
      </c>
      <c r="AC521" s="122">
        <v>54260</v>
      </c>
      <c r="AD521" s="113">
        <v>0</v>
      </c>
      <c r="AE521" s="122" t="s">
        <v>433</v>
      </c>
      <c r="AF521" s="92"/>
      <c r="AG521" s="92"/>
      <c r="AH521" s="92" t="s">
        <v>2</v>
      </c>
      <c r="AI521" s="92" t="s">
        <v>1785</v>
      </c>
      <c r="AJ521" s="92" t="s">
        <v>1787</v>
      </c>
      <c r="AK521" s="92" t="s">
        <v>1779</v>
      </c>
      <c r="AL521" s="92">
        <v>0</v>
      </c>
      <c r="AM521" s="92">
        <v>0</v>
      </c>
    </row>
    <row r="522" spans="2:39">
      <c r="B522" s="122">
        <v>2149</v>
      </c>
      <c r="C522" s="132">
        <v>55353</v>
      </c>
      <c r="D522" s="122" t="s">
        <v>433</v>
      </c>
      <c r="E522" s="92" t="s">
        <v>1626</v>
      </c>
      <c r="F522" t="s">
        <v>863</v>
      </c>
      <c r="I522" s="122">
        <v>1</v>
      </c>
      <c r="J522" s="92">
        <v>0</v>
      </c>
      <c r="K522" s="122">
        <v>0</v>
      </c>
      <c r="L522" s="92" t="s">
        <v>862</v>
      </c>
      <c r="M522" s="92"/>
      <c r="N522" s="92" t="s">
        <v>1798</v>
      </c>
      <c r="O522" s="92" t="s">
        <v>1789</v>
      </c>
      <c r="P522" s="92"/>
      <c r="Q522" s="92"/>
      <c r="R522" s="92"/>
      <c r="S522" s="133">
        <v>39455</v>
      </c>
      <c r="T522" s="133">
        <v>39455</v>
      </c>
      <c r="U522" s="92" t="s">
        <v>861</v>
      </c>
      <c r="V522" s="122">
        <v>300</v>
      </c>
      <c r="W522" s="122">
        <v>14110</v>
      </c>
      <c r="X522" s="113">
        <v>2776.1</v>
      </c>
      <c r="Y522" s="122">
        <v>14116</v>
      </c>
      <c r="Z522" s="113">
        <v>2776.1</v>
      </c>
      <c r="AA522" s="113">
        <v>0</v>
      </c>
      <c r="AB522" s="113">
        <v>0</v>
      </c>
      <c r="AC522" s="122">
        <v>70260</v>
      </c>
      <c r="AD522" s="113">
        <v>0</v>
      </c>
      <c r="AE522" s="122" t="s">
        <v>433</v>
      </c>
      <c r="AF522" s="92"/>
      <c r="AG522" s="92"/>
      <c r="AH522" s="92" t="s">
        <v>2</v>
      </c>
      <c r="AI522" s="92" t="s">
        <v>1785</v>
      </c>
      <c r="AJ522" s="92" t="s">
        <v>1787</v>
      </c>
      <c r="AK522" s="92" t="s">
        <v>1779</v>
      </c>
      <c r="AL522" s="92">
        <v>0</v>
      </c>
      <c r="AM522" s="92">
        <v>0</v>
      </c>
    </row>
    <row r="523" spans="2:39">
      <c r="B523" s="122">
        <v>2149</v>
      </c>
      <c r="C523" s="132">
        <v>54909</v>
      </c>
      <c r="D523" s="122">
        <v>54787</v>
      </c>
      <c r="E523" s="92" t="s">
        <v>1626</v>
      </c>
      <c r="F523" t="s">
        <v>860</v>
      </c>
      <c r="I523" s="122">
        <v>1</v>
      </c>
      <c r="J523" s="92" t="s">
        <v>859</v>
      </c>
      <c r="K523" s="122">
        <v>2007</v>
      </c>
      <c r="L523" s="92"/>
      <c r="M523" s="92"/>
      <c r="N523" s="92" t="s">
        <v>1788</v>
      </c>
      <c r="O523" s="92" t="s">
        <v>1789</v>
      </c>
      <c r="P523" s="92" t="s">
        <v>1814</v>
      </c>
      <c r="Q523" s="92"/>
      <c r="R523" s="92"/>
      <c r="S523" s="133">
        <v>39430</v>
      </c>
      <c r="T523" s="133">
        <v>39430</v>
      </c>
      <c r="U523" s="92" t="s">
        <v>857</v>
      </c>
      <c r="V523" s="122">
        <v>1000</v>
      </c>
      <c r="W523" s="122">
        <v>14040</v>
      </c>
      <c r="X523" s="113">
        <v>153350.81</v>
      </c>
      <c r="Y523" s="122">
        <v>14046</v>
      </c>
      <c r="Z523" s="113">
        <v>153350.81</v>
      </c>
      <c r="AA523" s="113">
        <v>0</v>
      </c>
      <c r="AB523" s="113">
        <v>0</v>
      </c>
      <c r="AC523" s="122">
        <v>51260</v>
      </c>
      <c r="AD523" s="113">
        <v>0</v>
      </c>
      <c r="AE523" s="122" t="s">
        <v>433</v>
      </c>
      <c r="AF523" s="92"/>
      <c r="AG523" s="92">
        <v>11</v>
      </c>
      <c r="AH523" s="92" t="s">
        <v>2</v>
      </c>
      <c r="AI523" s="92" t="s">
        <v>1785</v>
      </c>
      <c r="AJ523" s="92" t="s">
        <v>1787</v>
      </c>
      <c r="AK523" s="92" t="s">
        <v>1779</v>
      </c>
      <c r="AL523" s="92">
        <v>0</v>
      </c>
      <c r="AM523" s="92">
        <v>0</v>
      </c>
    </row>
    <row r="524" spans="2:39">
      <c r="B524" s="122">
        <v>2149</v>
      </c>
      <c r="C524" s="132">
        <v>54788</v>
      </c>
      <c r="D524" s="122" t="s">
        <v>433</v>
      </c>
      <c r="E524" s="92" t="s">
        <v>1626</v>
      </c>
      <c r="F524" t="s">
        <v>858</v>
      </c>
      <c r="I524" s="122">
        <v>1</v>
      </c>
      <c r="J524" s="92" t="s">
        <v>592</v>
      </c>
      <c r="K524" s="122">
        <v>2008</v>
      </c>
      <c r="L524" s="92" t="s">
        <v>855</v>
      </c>
      <c r="M524" s="92" t="s">
        <v>854</v>
      </c>
      <c r="N524" s="92" t="s">
        <v>1788</v>
      </c>
      <c r="O524" s="92" t="s">
        <v>1789</v>
      </c>
      <c r="P524" s="92" t="s">
        <v>1814</v>
      </c>
      <c r="Q524" s="92"/>
      <c r="R524" s="92"/>
      <c r="S524" s="133">
        <v>39289</v>
      </c>
      <c r="T524" s="133">
        <v>39289</v>
      </c>
      <c r="U524" s="92" t="s">
        <v>857</v>
      </c>
      <c r="V524" s="122">
        <v>1000</v>
      </c>
      <c r="W524" s="122">
        <v>14040</v>
      </c>
      <c r="X524" s="113">
        <v>128239.25</v>
      </c>
      <c r="Y524" s="122">
        <v>14046</v>
      </c>
      <c r="Z524" s="113">
        <v>128239.25</v>
      </c>
      <c r="AA524" s="113">
        <v>0</v>
      </c>
      <c r="AB524" s="113">
        <v>0</v>
      </c>
      <c r="AC524" s="122">
        <v>51260</v>
      </c>
      <c r="AD524" s="113">
        <v>0</v>
      </c>
      <c r="AE524" s="122" t="s">
        <v>433</v>
      </c>
      <c r="AF524" s="92">
        <v>0</v>
      </c>
      <c r="AG524" s="92">
        <v>10</v>
      </c>
      <c r="AH524" s="92" t="s">
        <v>2</v>
      </c>
      <c r="AI524" s="92" t="s">
        <v>1785</v>
      </c>
      <c r="AJ524" s="92" t="s">
        <v>1787</v>
      </c>
      <c r="AK524" s="92" t="s">
        <v>1779</v>
      </c>
      <c r="AL524" s="92">
        <v>0</v>
      </c>
      <c r="AM524" s="92">
        <v>0</v>
      </c>
    </row>
    <row r="525" spans="2:39">
      <c r="B525" s="122">
        <v>2149</v>
      </c>
      <c r="C525" s="132">
        <v>54787</v>
      </c>
      <c r="D525" s="122" t="s">
        <v>433</v>
      </c>
      <c r="E525" s="92" t="s">
        <v>1626</v>
      </c>
      <c r="F525" t="s">
        <v>856</v>
      </c>
      <c r="I525" s="122">
        <v>1</v>
      </c>
      <c r="J525" s="92" t="s">
        <v>593</v>
      </c>
      <c r="K525" s="122">
        <v>2008</v>
      </c>
      <c r="L525" s="92" t="s">
        <v>855</v>
      </c>
      <c r="M525" s="92" t="s">
        <v>854</v>
      </c>
      <c r="N525" s="92" t="s">
        <v>1788</v>
      </c>
      <c r="O525" s="92" t="s">
        <v>1789</v>
      </c>
      <c r="P525" s="92" t="s">
        <v>1814</v>
      </c>
      <c r="Q525" s="92"/>
      <c r="R525" s="92"/>
      <c r="S525" s="133">
        <v>39289</v>
      </c>
      <c r="T525" s="133">
        <v>39289</v>
      </c>
      <c r="U525" s="92" t="s">
        <v>853</v>
      </c>
      <c r="V525" s="122">
        <v>1000</v>
      </c>
      <c r="W525" s="122">
        <v>14040</v>
      </c>
      <c r="X525" s="113">
        <v>128239.25</v>
      </c>
      <c r="Y525" s="122">
        <v>14046</v>
      </c>
      <c r="Z525" s="113">
        <v>128239.25</v>
      </c>
      <c r="AA525" s="113">
        <v>0</v>
      </c>
      <c r="AB525" s="113">
        <v>0</v>
      </c>
      <c r="AC525" s="122">
        <v>51260</v>
      </c>
      <c r="AD525" s="113">
        <v>0</v>
      </c>
      <c r="AE525" s="122" t="s">
        <v>433</v>
      </c>
      <c r="AF525" s="92">
        <v>0</v>
      </c>
      <c r="AG525" s="92">
        <v>11</v>
      </c>
      <c r="AH525" s="92" t="s">
        <v>2</v>
      </c>
      <c r="AI525" s="92" t="s">
        <v>1785</v>
      </c>
      <c r="AJ525" s="92" t="s">
        <v>1787</v>
      </c>
      <c r="AK525" s="92" t="s">
        <v>1779</v>
      </c>
      <c r="AL525" s="92">
        <v>0</v>
      </c>
      <c r="AM525" s="92">
        <v>0</v>
      </c>
    </row>
    <row r="526" spans="2:39">
      <c r="B526" s="122">
        <v>2149</v>
      </c>
      <c r="C526" s="132">
        <v>54698</v>
      </c>
      <c r="D526" s="122" t="s">
        <v>433</v>
      </c>
      <c r="E526" s="92" t="s">
        <v>1626</v>
      </c>
      <c r="F526" t="s">
        <v>852</v>
      </c>
      <c r="I526" s="122">
        <v>828</v>
      </c>
      <c r="J526" s="92">
        <v>0</v>
      </c>
      <c r="K526" s="122">
        <v>0</v>
      </c>
      <c r="L526" s="92" t="s">
        <v>844</v>
      </c>
      <c r="M526" s="92"/>
      <c r="N526" s="92" t="s">
        <v>646</v>
      </c>
      <c r="O526" s="92" t="s">
        <v>1789</v>
      </c>
      <c r="P526" s="92"/>
      <c r="Q526" s="92"/>
      <c r="R526" s="92"/>
      <c r="S526" s="133">
        <v>39351</v>
      </c>
      <c r="T526" s="133">
        <v>39351</v>
      </c>
      <c r="U526" s="92" t="s">
        <v>843</v>
      </c>
      <c r="V526" s="122">
        <v>700</v>
      </c>
      <c r="W526" s="122">
        <v>14050</v>
      </c>
      <c r="X526" s="113">
        <v>40493.370000000003</v>
      </c>
      <c r="Y526" s="122">
        <v>14056</v>
      </c>
      <c r="Z526" s="113">
        <v>40493.370000000003</v>
      </c>
      <c r="AA526" s="113">
        <v>0</v>
      </c>
      <c r="AB526" s="113">
        <v>0</v>
      </c>
      <c r="AC526" s="122">
        <v>54260</v>
      </c>
      <c r="AD526" s="113">
        <v>0</v>
      </c>
      <c r="AE526" s="122" t="s">
        <v>433</v>
      </c>
      <c r="AF526" s="92"/>
      <c r="AG526" s="92"/>
      <c r="AH526" s="92" t="s">
        <v>2</v>
      </c>
      <c r="AI526" s="92" t="s">
        <v>1785</v>
      </c>
      <c r="AJ526" s="92" t="s">
        <v>1787</v>
      </c>
      <c r="AK526" s="92" t="s">
        <v>1779</v>
      </c>
      <c r="AL526" s="92">
        <v>0</v>
      </c>
      <c r="AM526" s="92">
        <v>0</v>
      </c>
    </row>
    <row r="527" spans="2:39">
      <c r="B527" s="122">
        <v>2149</v>
      </c>
      <c r="C527" s="132">
        <v>53297</v>
      </c>
      <c r="D527" s="122">
        <v>53296</v>
      </c>
      <c r="E527" s="92" t="s">
        <v>1626</v>
      </c>
      <c r="F527" t="s">
        <v>851</v>
      </c>
      <c r="I527" s="122">
        <v>1</v>
      </c>
      <c r="J527" s="92">
        <v>461427</v>
      </c>
      <c r="K527" s="122">
        <v>2007</v>
      </c>
      <c r="L527" s="92"/>
      <c r="M527" s="92"/>
      <c r="N527" s="92" t="s">
        <v>1788</v>
      </c>
      <c r="O527" s="92" t="s">
        <v>1789</v>
      </c>
      <c r="P527" s="92" t="s">
        <v>683</v>
      </c>
      <c r="Q527" s="92"/>
      <c r="R527" s="92"/>
      <c r="S527" s="133">
        <v>39317</v>
      </c>
      <c r="T527" s="133">
        <v>39317</v>
      </c>
      <c r="U527" s="92" t="s">
        <v>848</v>
      </c>
      <c r="V527" s="122">
        <v>1000</v>
      </c>
      <c r="W527" s="122">
        <v>14040</v>
      </c>
      <c r="X527" s="113">
        <v>10482.879999999999</v>
      </c>
      <c r="Y527" s="122">
        <v>14046</v>
      </c>
      <c r="Z527" s="113">
        <v>10482.879999999999</v>
      </c>
      <c r="AA527" s="113">
        <v>0</v>
      </c>
      <c r="AB527" s="113">
        <v>0</v>
      </c>
      <c r="AC527" s="122">
        <v>51260</v>
      </c>
      <c r="AD527" s="113">
        <v>0</v>
      </c>
      <c r="AE527" s="122" t="s">
        <v>433</v>
      </c>
      <c r="AF527" s="92">
        <v>0</v>
      </c>
      <c r="AG527" s="92"/>
      <c r="AH527" s="92" t="s">
        <v>2</v>
      </c>
      <c r="AI527" s="92" t="s">
        <v>1785</v>
      </c>
      <c r="AJ527" s="92" t="s">
        <v>1787</v>
      </c>
      <c r="AK527" s="92" t="s">
        <v>1779</v>
      </c>
      <c r="AL527" s="92">
        <v>0</v>
      </c>
      <c r="AM527" s="92">
        <v>0</v>
      </c>
    </row>
    <row r="528" spans="2:39">
      <c r="B528" s="122">
        <v>2149</v>
      </c>
      <c r="C528" s="132">
        <v>53296</v>
      </c>
      <c r="D528" s="122" t="s">
        <v>433</v>
      </c>
      <c r="E528" s="92" t="s">
        <v>1626</v>
      </c>
      <c r="F528" t="s">
        <v>850</v>
      </c>
      <c r="I528" s="122">
        <v>1</v>
      </c>
      <c r="J528" s="92" t="s">
        <v>849</v>
      </c>
      <c r="K528" s="122">
        <v>2007</v>
      </c>
      <c r="L528" s="92" t="s">
        <v>434</v>
      </c>
      <c r="M528" s="92" t="s">
        <v>435</v>
      </c>
      <c r="N528" s="92" t="s">
        <v>1788</v>
      </c>
      <c r="O528" s="92" t="s">
        <v>1789</v>
      </c>
      <c r="P528" s="92" t="s">
        <v>1809</v>
      </c>
      <c r="Q528" s="92"/>
      <c r="R528" s="92"/>
      <c r="S528" s="133">
        <v>39309</v>
      </c>
      <c r="T528" s="133">
        <v>39309</v>
      </c>
      <c r="U528" s="92" t="s">
        <v>848</v>
      </c>
      <c r="V528" s="122">
        <v>1000</v>
      </c>
      <c r="W528" s="122">
        <v>14040</v>
      </c>
      <c r="X528" s="113">
        <v>143978.10999999999</v>
      </c>
      <c r="Y528" s="122">
        <v>14046</v>
      </c>
      <c r="Z528" s="113">
        <v>143978.10999999999</v>
      </c>
      <c r="AA528" s="113">
        <v>0</v>
      </c>
      <c r="AB528" s="113">
        <v>0</v>
      </c>
      <c r="AC528" s="122">
        <v>51260</v>
      </c>
      <c r="AD528" s="113">
        <v>0</v>
      </c>
      <c r="AE528" s="122" t="s">
        <v>433</v>
      </c>
      <c r="AF528" s="92">
        <v>0</v>
      </c>
      <c r="AG528" s="92">
        <v>23</v>
      </c>
      <c r="AH528" s="92" t="s">
        <v>2</v>
      </c>
      <c r="AI528" s="92" t="s">
        <v>1785</v>
      </c>
      <c r="AJ528" s="92" t="s">
        <v>1787</v>
      </c>
      <c r="AK528" s="92" t="s">
        <v>1779</v>
      </c>
      <c r="AL528" s="92">
        <v>0</v>
      </c>
      <c r="AM528" s="92">
        <v>0</v>
      </c>
    </row>
    <row r="529" spans="2:39">
      <c r="B529" s="122">
        <v>2149</v>
      </c>
      <c r="C529" s="132">
        <v>52430</v>
      </c>
      <c r="D529" s="122" t="s">
        <v>433</v>
      </c>
      <c r="E529" s="92" t="s">
        <v>1626</v>
      </c>
      <c r="F529" t="s">
        <v>847</v>
      </c>
      <c r="I529" s="122">
        <v>992</v>
      </c>
      <c r="J529" s="92">
        <v>0</v>
      </c>
      <c r="K529" s="122">
        <v>0</v>
      </c>
      <c r="L529" s="92" t="s">
        <v>846</v>
      </c>
      <c r="M529" s="92"/>
      <c r="N529" s="92" t="s">
        <v>646</v>
      </c>
      <c r="O529" s="92" t="s">
        <v>1789</v>
      </c>
      <c r="P529" s="92"/>
      <c r="Q529" s="92"/>
      <c r="R529" s="92"/>
      <c r="S529" s="133">
        <v>39339</v>
      </c>
      <c r="T529" s="133">
        <v>39339</v>
      </c>
      <c r="U529" s="92" t="s">
        <v>843</v>
      </c>
      <c r="V529" s="122">
        <v>700</v>
      </c>
      <c r="W529" s="122">
        <v>14050</v>
      </c>
      <c r="X529" s="113">
        <v>35012.639999999999</v>
      </c>
      <c r="Y529" s="122">
        <v>14056</v>
      </c>
      <c r="Z529" s="113">
        <v>35012.639999999999</v>
      </c>
      <c r="AA529" s="113">
        <v>0</v>
      </c>
      <c r="AB529" s="113">
        <v>0</v>
      </c>
      <c r="AC529" s="122">
        <v>54260</v>
      </c>
      <c r="AD529" s="113">
        <v>0</v>
      </c>
      <c r="AE529" s="122" t="s">
        <v>433</v>
      </c>
      <c r="AF529" s="92"/>
      <c r="AG529" s="92"/>
      <c r="AH529" s="92" t="s">
        <v>2</v>
      </c>
      <c r="AI529" s="92" t="s">
        <v>1785</v>
      </c>
      <c r="AJ529" s="92" t="s">
        <v>1787</v>
      </c>
      <c r="AK529" s="92" t="s">
        <v>1779</v>
      </c>
      <c r="AL529" s="92">
        <v>0</v>
      </c>
      <c r="AM529" s="92">
        <v>0</v>
      </c>
    </row>
    <row r="530" spans="2:39">
      <c r="B530" s="122">
        <v>2149</v>
      </c>
      <c r="C530" s="132">
        <v>52429</v>
      </c>
      <c r="D530" s="122" t="s">
        <v>433</v>
      </c>
      <c r="E530" s="92" t="s">
        <v>1626</v>
      </c>
      <c r="F530" t="s">
        <v>847</v>
      </c>
      <c r="I530" s="122">
        <v>1008</v>
      </c>
      <c r="J530" s="92">
        <v>0</v>
      </c>
      <c r="K530" s="122">
        <v>0</v>
      </c>
      <c r="L530" s="92" t="s">
        <v>846</v>
      </c>
      <c r="M530" s="92"/>
      <c r="N530" s="92" t="s">
        <v>646</v>
      </c>
      <c r="O530" s="92" t="s">
        <v>1789</v>
      </c>
      <c r="P530" s="92"/>
      <c r="Q530" s="92"/>
      <c r="R530" s="92"/>
      <c r="S530" s="133">
        <v>39330</v>
      </c>
      <c r="T530" s="133">
        <v>39330</v>
      </c>
      <c r="U530" s="92" t="s">
        <v>843</v>
      </c>
      <c r="V530" s="122">
        <v>700</v>
      </c>
      <c r="W530" s="122">
        <v>14050</v>
      </c>
      <c r="X530" s="113">
        <v>39410.94</v>
      </c>
      <c r="Y530" s="122">
        <v>14056</v>
      </c>
      <c r="Z530" s="113">
        <v>39410.94</v>
      </c>
      <c r="AA530" s="113">
        <v>0</v>
      </c>
      <c r="AB530" s="113">
        <v>0</v>
      </c>
      <c r="AC530" s="122">
        <v>54260</v>
      </c>
      <c r="AD530" s="113">
        <v>0</v>
      </c>
      <c r="AE530" s="122" t="s">
        <v>433</v>
      </c>
      <c r="AF530" s="92"/>
      <c r="AG530" s="92"/>
      <c r="AH530" s="92" t="s">
        <v>2</v>
      </c>
      <c r="AI530" s="92" t="s">
        <v>1785</v>
      </c>
      <c r="AJ530" s="92" t="s">
        <v>1787</v>
      </c>
      <c r="AK530" s="92" t="s">
        <v>1779</v>
      </c>
      <c r="AL530" s="92">
        <v>0</v>
      </c>
      <c r="AM530" s="92">
        <v>0</v>
      </c>
    </row>
    <row r="531" spans="2:39">
      <c r="B531" s="122">
        <v>2149</v>
      </c>
      <c r="C531" s="132">
        <v>52428</v>
      </c>
      <c r="D531" s="122" t="s">
        <v>433</v>
      </c>
      <c r="E531" s="92" t="s">
        <v>1626</v>
      </c>
      <c r="F531" t="s">
        <v>845</v>
      </c>
      <c r="I531" s="122">
        <v>360</v>
      </c>
      <c r="J531" s="92">
        <v>0</v>
      </c>
      <c r="K531" s="122">
        <v>0</v>
      </c>
      <c r="L531" s="92" t="s">
        <v>844</v>
      </c>
      <c r="M531" s="92"/>
      <c r="N531" s="92" t="s">
        <v>646</v>
      </c>
      <c r="O531" s="92" t="s">
        <v>1789</v>
      </c>
      <c r="P531" s="92"/>
      <c r="Q531" s="92"/>
      <c r="R531" s="92"/>
      <c r="S531" s="133">
        <v>39343</v>
      </c>
      <c r="T531" s="133">
        <v>39343</v>
      </c>
      <c r="U531" s="92" t="s">
        <v>843</v>
      </c>
      <c r="V531" s="122">
        <v>700</v>
      </c>
      <c r="W531" s="122">
        <v>14050</v>
      </c>
      <c r="X531" s="113">
        <v>18692.580000000002</v>
      </c>
      <c r="Y531" s="122">
        <v>14056</v>
      </c>
      <c r="Z531" s="113">
        <v>18692.580000000002</v>
      </c>
      <c r="AA531" s="113">
        <v>0</v>
      </c>
      <c r="AB531" s="113">
        <v>0</v>
      </c>
      <c r="AC531" s="122">
        <v>54260</v>
      </c>
      <c r="AD531" s="113">
        <v>0</v>
      </c>
      <c r="AE531" s="122" t="s">
        <v>433</v>
      </c>
      <c r="AF531" s="92"/>
      <c r="AG531" s="92"/>
      <c r="AH531" s="92" t="s">
        <v>2</v>
      </c>
      <c r="AI531" s="92" t="s">
        <v>1785</v>
      </c>
      <c r="AJ531" s="92" t="s">
        <v>1787</v>
      </c>
      <c r="AK531" s="92" t="s">
        <v>1779</v>
      </c>
      <c r="AL531" s="92">
        <v>0</v>
      </c>
      <c r="AM531" s="92">
        <v>0</v>
      </c>
    </row>
    <row r="532" spans="2:39">
      <c r="B532" s="122">
        <v>2149</v>
      </c>
      <c r="C532" s="132">
        <v>52210</v>
      </c>
      <c r="D532" s="122" t="s">
        <v>433</v>
      </c>
      <c r="E532" s="92" t="s">
        <v>1626</v>
      </c>
      <c r="F532" t="s">
        <v>842</v>
      </c>
      <c r="I532" s="122">
        <v>1</v>
      </c>
      <c r="J532" s="92" t="s">
        <v>841</v>
      </c>
      <c r="K532" s="122">
        <v>0</v>
      </c>
      <c r="L532" s="92" t="s">
        <v>711</v>
      </c>
      <c r="M532" s="92"/>
      <c r="N532" s="92" t="s">
        <v>1798</v>
      </c>
      <c r="O532" s="92" t="s">
        <v>1789</v>
      </c>
      <c r="P532" s="92"/>
      <c r="Q532" s="92"/>
      <c r="R532" s="92"/>
      <c r="S532" s="133">
        <v>37174</v>
      </c>
      <c r="T532" s="133">
        <v>37174</v>
      </c>
      <c r="U532" s="92" t="s">
        <v>840</v>
      </c>
      <c r="V532" s="122">
        <v>500</v>
      </c>
      <c r="W532" s="122">
        <v>14110</v>
      </c>
      <c r="X532" s="113">
        <v>2389.91</v>
      </c>
      <c r="Y532" s="122">
        <v>14116</v>
      </c>
      <c r="Z532" s="113">
        <v>2389.91</v>
      </c>
      <c r="AA532" s="113">
        <v>0</v>
      </c>
      <c r="AB532" s="113">
        <v>0</v>
      </c>
      <c r="AC532" s="122">
        <v>70260</v>
      </c>
      <c r="AD532" s="113">
        <v>0</v>
      </c>
      <c r="AE532" s="122" t="s">
        <v>433</v>
      </c>
      <c r="AF532" s="92"/>
      <c r="AG532" s="92"/>
      <c r="AH532" s="92" t="s">
        <v>2</v>
      </c>
      <c r="AI532" s="92" t="s">
        <v>1785</v>
      </c>
      <c r="AJ532" s="92" t="s">
        <v>1787</v>
      </c>
      <c r="AK532" s="92" t="e">
        <v>#N/A</v>
      </c>
      <c r="AL532" s="92" t="e">
        <v>#N/A</v>
      </c>
      <c r="AM532" s="92" t="e">
        <v>#N/A</v>
      </c>
    </row>
    <row r="533" spans="2:39">
      <c r="B533" s="122">
        <v>2149</v>
      </c>
      <c r="C533" s="132">
        <v>51498</v>
      </c>
      <c r="D533" s="122" t="s">
        <v>433</v>
      </c>
      <c r="E533" s="92" t="s">
        <v>1626</v>
      </c>
      <c r="F533" t="s">
        <v>839</v>
      </c>
      <c r="I533" s="122">
        <v>1</v>
      </c>
      <c r="J533" s="92">
        <v>0</v>
      </c>
      <c r="K533" s="122">
        <v>0</v>
      </c>
      <c r="L533" s="92"/>
      <c r="M533" s="92"/>
      <c r="N533" s="92" t="s">
        <v>1798</v>
      </c>
      <c r="O533" s="92" t="s">
        <v>1789</v>
      </c>
      <c r="P533" s="92"/>
      <c r="Q533" s="92"/>
      <c r="R533" s="92"/>
      <c r="S533" s="133">
        <v>39232</v>
      </c>
      <c r="T533" s="133">
        <v>39232</v>
      </c>
      <c r="U533" s="92" t="s">
        <v>838</v>
      </c>
      <c r="V533" s="122">
        <v>300</v>
      </c>
      <c r="W533" s="122">
        <v>14110</v>
      </c>
      <c r="X533" s="113">
        <v>1618.75</v>
      </c>
      <c r="Y533" s="122">
        <v>14116</v>
      </c>
      <c r="Z533" s="113">
        <v>1618.75</v>
      </c>
      <c r="AA533" s="113">
        <v>0</v>
      </c>
      <c r="AB533" s="113">
        <v>0</v>
      </c>
      <c r="AC533" s="122">
        <v>70260</v>
      </c>
      <c r="AD533" s="113">
        <v>0</v>
      </c>
      <c r="AE533" s="122" t="s">
        <v>433</v>
      </c>
      <c r="AF533" s="92"/>
      <c r="AG533" s="92"/>
      <c r="AH533" s="92" t="s">
        <v>2</v>
      </c>
      <c r="AI533" s="92" t="s">
        <v>1785</v>
      </c>
      <c r="AJ533" s="92" t="s">
        <v>1787</v>
      </c>
      <c r="AK533" s="92" t="s">
        <v>1779</v>
      </c>
      <c r="AL533" s="92">
        <v>0</v>
      </c>
      <c r="AM533" s="92">
        <v>0</v>
      </c>
    </row>
    <row r="534" spans="2:39">
      <c r="B534" s="122">
        <v>2149</v>
      </c>
      <c r="C534" s="132">
        <v>49690</v>
      </c>
      <c r="D534" s="122" t="s">
        <v>433</v>
      </c>
      <c r="E534" s="92" t="s">
        <v>1626</v>
      </c>
      <c r="F534" t="s">
        <v>837</v>
      </c>
      <c r="I534" s="122">
        <v>26</v>
      </c>
      <c r="J534" s="92">
        <v>0</v>
      </c>
      <c r="K534" s="122">
        <v>0</v>
      </c>
      <c r="L534" s="92" t="s">
        <v>798</v>
      </c>
      <c r="M534" s="92"/>
      <c r="N534" s="92" t="s">
        <v>646</v>
      </c>
      <c r="O534" s="92" t="s">
        <v>1789</v>
      </c>
      <c r="P534" s="92"/>
      <c r="Q534" s="92" t="s">
        <v>1790</v>
      </c>
      <c r="R534" s="92" t="s">
        <v>1791</v>
      </c>
      <c r="S534" s="133">
        <v>39176</v>
      </c>
      <c r="T534" s="133">
        <v>39176</v>
      </c>
      <c r="U534" s="92" t="s">
        <v>836</v>
      </c>
      <c r="V534" s="122">
        <v>1200</v>
      </c>
      <c r="W534" s="122">
        <v>14050</v>
      </c>
      <c r="X534" s="113">
        <v>10348</v>
      </c>
      <c r="Y534" s="122">
        <v>14056</v>
      </c>
      <c r="Z534" s="113">
        <v>10348</v>
      </c>
      <c r="AA534" s="113">
        <v>0</v>
      </c>
      <c r="AB534" s="113">
        <v>0</v>
      </c>
      <c r="AC534" s="122">
        <v>54260</v>
      </c>
      <c r="AD534" s="113">
        <v>0</v>
      </c>
      <c r="AE534" s="122" t="s">
        <v>433</v>
      </c>
      <c r="AF534" s="92"/>
      <c r="AG534" s="92"/>
      <c r="AH534" s="92" t="s">
        <v>2</v>
      </c>
      <c r="AI534" s="92" t="s">
        <v>1785</v>
      </c>
      <c r="AJ534" s="92" t="s">
        <v>1787</v>
      </c>
      <c r="AK534" s="92" t="s">
        <v>1779</v>
      </c>
      <c r="AL534" s="92">
        <v>0</v>
      </c>
      <c r="AM534" s="92">
        <v>0</v>
      </c>
    </row>
    <row r="535" spans="2:39">
      <c r="B535" s="122">
        <v>2149</v>
      </c>
      <c r="C535" s="132">
        <v>49689</v>
      </c>
      <c r="D535" s="122" t="s">
        <v>433</v>
      </c>
      <c r="E535" s="92" t="s">
        <v>1626</v>
      </c>
      <c r="F535" t="s">
        <v>835</v>
      </c>
      <c r="I535" s="122">
        <v>53</v>
      </c>
      <c r="J535" s="92">
        <v>0</v>
      </c>
      <c r="K535" s="122">
        <v>0</v>
      </c>
      <c r="L535" s="92" t="s">
        <v>798</v>
      </c>
      <c r="M535" s="92"/>
      <c r="N535" s="92" t="s">
        <v>646</v>
      </c>
      <c r="O535" s="92" t="s">
        <v>1789</v>
      </c>
      <c r="P535" s="92"/>
      <c r="Q535" s="92" t="s">
        <v>1792</v>
      </c>
      <c r="R535" s="92" t="s">
        <v>1791</v>
      </c>
      <c r="S535" s="133">
        <v>39176</v>
      </c>
      <c r="T535" s="133">
        <v>39176</v>
      </c>
      <c r="U535" s="92" t="s">
        <v>834</v>
      </c>
      <c r="V535" s="122">
        <v>1200</v>
      </c>
      <c r="W535" s="122">
        <v>14050</v>
      </c>
      <c r="X535" s="113">
        <v>22048</v>
      </c>
      <c r="Y535" s="122">
        <v>14056</v>
      </c>
      <c r="Z535" s="113">
        <v>22048</v>
      </c>
      <c r="AA535" s="113">
        <v>0</v>
      </c>
      <c r="AB535" s="113">
        <v>0</v>
      </c>
      <c r="AC535" s="122">
        <v>54260</v>
      </c>
      <c r="AD535" s="113">
        <v>0</v>
      </c>
      <c r="AE535" s="122" t="s">
        <v>433</v>
      </c>
      <c r="AF535" s="92"/>
      <c r="AG535" s="92"/>
      <c r="AH535" s="92" t="s">
        <v>2</v>
      </c>
      <c r="AI535" s="92" t="s">
        <v>1785</v>
      </c>
      <c r="AJ535" s="92" t="s">
        <v>1787</v>
      </c>
      <c r="AK535" s="92" t="s">
        <v>1779</v>
      </c>
      <c r="AL535" s="92">
        <v>0</v>
      </c>
      <c r="AM535" s="92">
        <v>0</v>
      </c>
    </row>
    <row r="536" spans="2:39">
      <c r="B536" s="122">
        <v>2149</v>
      </c>
      <c r="C536" s="132">
        <v>49688</v>
      </c>
      <c r="D536" s="122" t="s">
        <v>433</v>
      </c>
      <c r="E536" s="92" t="s">
        <v>1626</v>
      </c>
      <c r="F536" t="s">
        <v>833</v>
      </c>
      <c r="I536" s="122">
        <v>4</v>
      </c>
      <c r="J536" s="92">
        <v>0</v>
      </c>
      <c r="K536" s="122">
        <v>0</v>
      </c>
      <c r="L536" s="92" t="s">
        <v>798</v>
      </c>
      <c r="M536" s="92"/>
      <c r="N536" s="92" t="s">
        <v>646</v>
      </c>
      <c r="O536" s="92" t="s">
        <v>1789</v>
      </c>
      <c r="P536" s="92"/>
      <c r="Q536" s="92" t="s">
        <v>1793</v>
      </c>
      <c r="R536" s="92" t="s">
        <v>1794</v>
      </c>
      <c r="S536" s="133">
        <v>39176</v>
      </c>
      <c r="T536" s="133">
        <v>39176</v>
      </c>
      <c r="U536" s="92" t="s">
        <v>832</v>
      </c>
      <c r="V536" s="122">
        <v>1200</v>
      </c>
      <c r="W536" s="122">
        <v>14050</v>
      </c>
      <c r="X536" s="113">
        <v>21080</v>
      </c>
      <c r="Y536" s="122">
        <v>14056</v>
      </c>
      <c r="Z536" s="113">
        <v>21080</v>
      </c>
      <c r="AA536" s="113">
        <v>0</v>
      </c>
      <c r="AB536" s="113">
        <v>0</v>
      </c>
      <c r="AC536" s="122">
        <v>54260</v>
      </c>
      <c r="AD536" s="113">
        <v>0</v>
      </c>
      <c r="AE536" s="122" t="s">
        <v>433</v>
      </c>
      <c r="AF536" s="92"/>
      <c r="AG536" s="92"/>
      <c r="AH536" s="92" t="s">
        <v>2</v>
      </c>
      <c r="AI536" s="92" t="s">
        <v>1785</v>
      </c>
      <c r="AJ536" s="92" t="s">
        <v>1787</v>
      </c>
      <c r="AK536" s="92" t="s">
        <v>1779</v>
      </c>
      <c r="AL536" s="92">
        <v>0</v>
      </c>
      <c r="AM536" s="92">
        <v>0</v>
      </c>
    </row>
    <row r="537" spans="2:39">
      <c r="B537" s="122">
        <v>2149</v>
      </c>
      <c r="C537" s="132">
        <v>49687</v>
      </c>
      <c r="D537" s="122" t="s">
        <v>433</v>
      </c>
      <c r="E537" s="92" t="s">
        <v>1626</v>
      </c>
      <c r="F537" t="s">
        <v>831</v>
      </c>
      <c r="I537" s="122">
        <v>4</v>
      </c>
      <c r="J537" s="92">
        <v>0</v>
      </c>
      <c r="K537" s="122">
        <v>0</v>
      </c>
      <c r="L537" s="92" t="s">
        <v>798</v>
      </c>
      <c r="M537" s="92"/>
      <c r="N537" s="92" t="s">
        <v>646</v>
      </c>
      <c r="O537" s="92" t="s">
        <v>1789</v>
      </c>
      <c r="P537" s="92"/>
      <c r="Q537" s="92"/>
      <c r="R537" s="92"/>
      <c r="S537" s="133">
        <v>39176</v>
      </c>
      <c r="T537" s="133">
        <v>39176</v>
      </c>
      <c r="U537" s="92" t="s">
        <v>830</v>
      </c>
      <c r="V537" s="122">
        <v>1200</v>
      </c>
      <c r="W537" s="122">
        <v>14050</v>
      </c>
      <c r="X537" s="113">
        <v>17400</v>
      </c>
      <c r="Y537" s="122">
        <v>14056</v>
      </c>
      <c r="Z537" s="113">
        <v>17400</v>
      </c>
      <c r="AA537" s="113">
        <v>0</v>
      </c>
      <c r="AB537" s="113">
        <v>0</v>
      </c>
      <c r="AC537" s="122">
        <v>54260</v>
      </c>
      <c r="AD537" s="113">
        <v>0</v>
      </c>
      <c r="AE537" s="122" t="s">
        <v>433</v>
      </c>
      <c r="AF537" s="92"/>
      <c r="AG537" s="92"/>
      <c r="AH537" s="92" t="s">
        <v>2</v>
      </c>
      <c r="AI537" s="92" t="s">
        <v>1785</v>
      </c>
      <c r="AJ537" s="92" t="s">
        <v>1787</v>
      </c>
      <c r="AK537" s="92" t="s">
        <v>1779</v>
      </c>
      <c r="AL537" s="92">
        <v>0</v>
      </c>
      <c r="AM537" s="92">
        <v>0</v>
      </c>
    </row>
    <row r="538" spans="2:39">
      <c r="B538" s="122">
        <v>2149</v>
      </c>
      <c r="C538" s="132">
        <v>49686</v>
      </c>
      <c r="D538" s="122" t="s">
        <v>433</v>
      </c>
      <c r="E538" s="92" t="s">
        <v>1626</v>
      </c>
      <c r="F538" t="s">
        <v>829</v>
      </c>
      <c r="I538" s="122">
        <v>6</v>
      </c>
      <c r="J538" s="92">
        <v>0</v>
      </c>
      <c r="K538" s="122">
        <v>0</v>
      </c>
      <c r="L538" s="92" t="s">
        <v>798</v>
      </c>
      <c r="M538" s="92"/>
      <c r="N538" s="92" t="s">
        <v>646</v>
      </c>
      <c r="O538" s="92" t="s">
        <v>1789</v>
      </c>
      <c r="P538" s="92"/>
      <c r="Q538" s="92" t="s">
        <v>1796</v>
      </c>
      <c r="R538" s="92" t="s">
        <v>1794</v>
      </c>
      <c r="S538" s="133">
        <v>39176</v>
      </c>
      <c r="T538" s="133">
        <v>39176</v>
      </c>
      <c r="U538" s="92" t="s">
        <v>828</v>
      </c>
      <c r="V538" s="122">
        <v>1200</v>
      </c>
      <c r="W538" s="122">
        <v>14050</v>
      </c>
      <c r="X538" s="113">
        <v>20940</v>
      </c>
      <c r="Y538" s="122">
        <v>14056</v>
      </c>
      <c r="Z538" s="113">
        <v>20940</v>
      </c>
      <c r="AA538" s="113">
        <v>0</v>
      </c>
      <c r="AB538" s="113">
        <v>0</v>
      </c>
      <c r="AC538" s="122">
        <v>54260</v>
      </c>
      <c r="AD538" s="113">
        <v>0</v>
      </c>
      <c r="AE538" s="122" t="s">
        <v>433</v>
      </c>
      <c r="AF538" s="92"/>
      <c r="AG538" s="92"/>
      <c r="AH538" s="92" t="s">
        <v>2</v>
      </c>
      <c r="AI538" s="92" t="s">
        <v>1785</v>
      </c>
      <c r="AJ538" s="92" t="s">
        <v>1787</v>
      </c>
      <c r="AK538" s="92" t="s">
        <v>1779</v>
      </c>
      <c r="AL538" s="92">
        <v>0</v>
      </c>
      <c r="AM538" s="92">
        <v>0</v>
      </c>
    </row>
    <row r="539" spans="2:39">
      <c r="B539" s="122">
        <v>2149</v>
      </c>
      <c r="C539" s="132">
        <v>48172</v>
      </c>
      <c r="D539" s="122" t="s">
        <v>433</v>
      </c>
      <c r="E539" s="92" t="s">
        <v>1626</v>
      </c>
      <c r="F539" t="s">
        <v>827</v>
      </c>
      <c r="I539" s="122">
        <v>1</v>
      </c>
      <c r="J539" s="92" t="s">
        <v>586</v>
      </c>
      <c r="K539" s="122">
        <v>2003</v>
      </c>
      <c r="L539" s="92" t="s">
        <v>826</v>
      </c>
      <c r="M539" s="92" t="s">
        <v>1585</v>
      </c>
      <c r="N539" s="92" t="s">
        <v>1788</v>
      </c>
      <c r="O539" s="92" t="s">
        <v>1789</v>
      </c>
      <c r="P539" s="92" t="s">
        <v>1813</v>
      </c>
      <c r="Q539" s="92"/>
      <c r="R539" s="92"/>
      <c r="S539" s="133">
        <v>39112</v>
      </c>
      <c r="T539" s="133">
        <v>39112</v>
      </c>
      <c r="U539" s="92" t="s">
        <v>825</v>
      </c>
      <c r="V539" s="122">
        <v>1000</v>
      </c>
      <c r="W539" s="122">
        <v>14040</v>
      </c>
      <c r="X539" s="113">
        <v>29915.5</v>
      </c>
      <c r="Y539" s="122">
        <v>14046</v>
      </c>
      <c r="Z539" s="113">
        <v>29915.5</v>
      </c>
      <c r="AA539" s="113">
        <v>0</v>
      </c>
      <c r="AB539" s="113">
        <v>0</v>
      </c>
      <c r="AC539" s="122">
        <v>51260</v>
      </c>
      <c r="AD539" s="113">
        <v>0</v>
      </c>
      <c r="AE539" s="122" t="s">
        <v>433</v>
      </c>
      <c r="AF539" s="92"/>
      <c r="AG539" s="92" t="s">
        <v>91</v>
      </c>
      <c r="AH539" s="92" t="s">
        <v>2</v>
      </c>
      <c r="AI539" s="92" t="s">
        <v>1785</v>
      </c>
      <c r="AJ539" s="92" t="s">
        <v>1787</v>
      </c>
      <c r="AK539" s="92" t="s">
        <v>1779</v>
      </c>
      <c r="AL539" s="92">
        <v>0</v>
      </c>
      <c r="AM539" s="92">
        <v>0</v>
      </c>
    </row>
    <row r="540" spans="2:39">
      <c r="B540" s="122">
        <v>2149</v>
      </c>
      <c r="C540" s="132">
        <v>47447</v>
      </c>
      <c r="D540" s="122" t="s">
        <v>433</v>
      </c>
      <c r="E540" s="92" t="s">
        <v>1626</v>
      </c>
      <c r="F540" t="s">
        <v>824</v>
      </c>
      <c r="I540" s="122">
        <v>1</v>
      </c>
      <c r="J540" s="92">
        <v>0</v>
      </c>
      <c r="K540" s="122">
        <v>0</v>
      </c>
      <c r="L540" s="92" t="s">
        <v>798</v>
      </c>
      <c r="M540" s="92"/>
      <c r="N540" s="92" t="s">
        <v>646</v>
      </c>
      <c r="O540" s="92" t="s">
        <v>1789</v>
      </c>
      <c r="P540" s="92"/>
      <c r="Q540" s="92" t="s">
        <v>1796</v>
      </c>
      <c r="R540" s="92" t="s">
        <v>1794</v>
      </c>
      <c r="S540" s="133">
        <v>38937</v>
      </c>
      <c r="T540" s="133">
        <v>38937</v>
      </c>
      <c r="U540" s="92" t="s">
        <v>823</v>
      </c>
      <c r="V540" s="122">
        <v>1200</v>
      </c>
      <c r="W540" s="122">
        <v>14050</v>
      </c>
      <c r="X540" s="113">
        <v>4300</v>
      </c>
      <c r="Y540" s="122">
        <v>14056</v>
      </c>
      <c r="Z540" s="113">
        <v>4300</v>
      </c>
      <c r="AA540" s="113">
        <v>0</v>
      </c>
      <c r="AB540" s="113">
        <v>0</v>
      </c>
      <c r="AC540" s="122">
        <v>54260</v>
      </c>
      <c r="AD540" s="113">
        <v>0</v>
      </c>
      <c r="AE540" s="122" t="s">
        <v>433</v>
      </c>
      <c r="AF540" s="92"/>
      <c r="AG540" s="92"/>
      <c r="AH540" s="92" t="s">
        <v>2</v>
      </c>
      <c r="AI540" s="92" t="s">
        <v>1785</v>
      </c>
      <c r="AJ540" s="92" t="s">
        <v>1787</v>
      </c>
      <c r="AK540" s="92" t="s">
        <v>1779</v>
      </c>
      <c r="AL540" s="92">
        <v>0</v>
      </c>
      <c r="AM540" s="92">
        <v>0</v>
      </c>
    </row>
    <row r="541" spans="2:39">
      <c r="B541" s="122">
        <v>2149</v>
      </c>
      <c r="C541" s="132">
        <v>47388</v>
      </c>
      <c r="D541" s="122" t="s">
        <v>433</v>
      </c>
      <c r="E541" s="92" t="s">
        <v>1626</v>
      </c>
      <c r="F541" t="s">
        <v>805</v>
      </c>
      <c r="I541" s="122">
        <v>6</v>
      </c>
      <c r="J541" s="92">
        <v>0</v>
      </c>
      <c r="K541" s="122">
        <v>0</v>
      </c>
      <c r="L541" s="92" t="s">
        <v>798</v>
      </c>
      <c r="M541" s="92"/>
      <c r="N541" s="92" t="s">
        <v>646</v>
      </c>
      <c r="O541" s="92" t="s">
        <v>1789</v>
      </c>
      <c r="P541" s="92"/>
      <c r="Q541" s="92" t="s">
        <v>1796</v>
      </c>
      <c r="R541" s="92" t="s">
        <v>1794</v>
      </c>
      <c r="S541" s="133">
        <v>39014</v>
      </c>
      <c r="T541" s="133">
        <v>39014</v>
      </c>
      <c r="U541" s="92" t="s">
        <v>822</v>
      </c>
      <c r="V541" s="122">
        <v>1200</v>
      </c>
      <c r="W541" s="122">
        <v>14050</v>
      </c>
      <c r="X541" s="113">
        <v>21594</v>
      </c>
      <c r="Y541" s="122">
        <v>14056</v>
      </c>
      <c r="Z541" s="113">
        <v>21594</v>
      </c>
      <c r="AA541" s="113">
        <v>0</v>
      </c>
      <c r="AB541" s="113">
        <v>0</v>
      </c>
      <c r="AC541" s="122">
        <v>54260</v>
      </c>
      <c r="AD541" s="113">
        <v>0</v>
      </c>
      <c r="AE541" s="122" t="s">
        <v>433</v>
      </c>
      <c r="AF541" s="92"/>
      <c r="AG541" s="92"/>
      <c r="AH541" s="92" t="s">
        <v>2</v>
      </c>
      <c r="AI541" s="92" t="s">
        <v>1785</v>
      </c>
      <c r="AJ541" s="92" t="s">
        <v>1787</v>
      </c>
      <c r="AK541" s="92" t="s">
        <v>1779</v>
      </c>
      <c r="AL541" s="92">
        <v>0</v>
      </c>
      <c r="AM541" s="92">
        <v>0</v>
      </c>
    </row>
    <row r="542" spans="2:39">
      <c r="B542" s="122">
        <v>2149</v>
      </c>
      <c r="C542" s="132">
        <v>46465</v>
      </c>
      <c r="D542" s="122" t="s">
        <v>433</v>
      </c>
      <c r="E542" s="92" t="s">
        <v>1626</v>
      </c>
      <c r="F542" t="s">
        <v>821</v>
      </c>
      <c r="I542" s="122">
        <v>1</v>
      </c>
      <c r="J542" s="92">
        <v>0</v>
      </c>
      <c r="K542" s="122">
        <v>0</v>
      </c>
      <c r="L542" s="92"/>
      <c r="M542" s="92"/>
      <c r="N542" s="92" t="s">
        <v>1812</v>
      </c>
      <c r="O542" s="92" t="s">
        <v>1789</v>
      </c>
      <c r="P542" s="92"/>
      <c r="Q542" s="92"/>
      <c r="R542" s="92"/>
      <c r="S542" s="133">
        <v>38991</v>
      </c>
      <c r="T542" s="133">
        <v>38991</v>
      </c>
      <c r="U542" s="92" t="s">
        <v>820</v>
      </c>
      <c r="V542" s="122">
        <v>500</v>
      </c>
      <c r="W542" s="122">
        <v>14100</v>
      </c>
      <c r="X542" s="113">
        <v>2550.4699999999998</v>
      </c>
      <c r="Y542" s="122">
        <v>14106</v>
      </c>
      <c r="Z542" s="113">
        <v>2550.4699999999998</v>
      </c>
      <c r="AA542" s="113">
        <v>0</v>
      </c>
      <c r="AB542" s="113">
        <v>0</v>
      </c>
      <c r="AC542" s="122">
        <v>70260</v>
      </c>
      <c r="AD542" s="113">
        <v>0</v>
      </c>
      <c r="AE542" s="122" t="s">
        <v>433</v>
      </c>
      <c r="AF542" s="92"/>
      <c r="AG542" s="92"/>
      <c r="AH542" s="92" t="s">
        <v>2</v>
      </c>
      <c r="AI542" s="92" t="s">
        <v>1785</v>
      </c>
      <c r="AJ542" s="92" t="s">
        <v>1787</v>
      </c>
      <c r="AK542" s="92" t="s">
        <v>1779</v>
      </c>
      <c r="AL542" s="92">
        <v>0</v>
      </c>
      <c r="AM542" s="92">
        <v>0</v>
      </c>
    </row>
    <row r="543" spans="2:39">
      <c r="B543" s="122">
        <v>2149</v>
      </c>
      <c r="C543" s="132">
        <v>45786</v>
      </c>
      <c r="D543" s="122">
        <v>45066</v>
      </c>
      <c r="E543" s="92" t="s">
        <v>1626</v>
      </c>
      <c r="F543" t="s">
        <v>819</v>
      </c>
      <c r="I543" s="122">
        <v>1</v>
      </c>
      <c r="J543" s="92" t="s">
        <v>809</v>
      </c>
      <c r="K543" s="122">
        <v>2006</v>
      </c>
      <c r="L543" s="92"/>
      <c r="M543" s="92"/>
      <c r="N543" s="92" t="s">
        <v>1788</v>
      </c>
      <c r="O543" s="92" t="s">
        <v>1789</v>
      </c>
      <c r="P543" s="92" t="s">
        <v>1802</v>
      </c>
      <c r="Q543" s="92"/>
      <c r="R543" s="92"/>
      <c r="S543" s="133">
        <v>38985</v>
      </c>
      <c r="T543" s="133">
        <v>38985</v>
      </c>
      <c r="U543" s="92" t="s">
        <v>808</v>
      </c>
      <c r="V543" s="122">
        <v>1000</v>
      </c>
      <c r="W543" s="122">
        <v>14040</v>
      </c>
      <c r="X543" s="113">
        <v>54351.26</v>
      </c>
      <c r="Y543" s="122">
        <v>14046</v>
      </c>
      <c r="Z543" s="113">
        <v>54351.26</v>
      </c>
      <c r="AA543" s="113">
        <v>0</v>
      </c>
      <c r="AB543" s="113">
        <v>0</v>
      </c>
      <c r="AC543" s="122">
        <v>51260</v>
      </c>
      <c r="AD543" s="113">
        <v>0</v>
      </c>
      <c r="AE543" s="122" t="s">
        <v>433</v>
      </c>
      <c r="AF543" s="92"/>
      <c r="AG543" s="92">
        <v>7</v>
      </c>
      <c r="AH543" s="92" t="s">
        <v>2</v>
      </c>
      <c r="AI543" s="92" t="s">
        <v>1785</v>
      </c>
      <c r="AJ543" s="92" t="s">
        <v>1787</v>
      </c>
      <c r="AK543" s="92" t="s">
        <v>1779</v>
      </c>
      <c r="AL543" s="92">
        <v>0</v>
      </c>
      <c r="AM543" s="92">
        <v>0</v>
      </c>
    </row>
    <row r="544" spans="2:39">
      <c r="B544" s="122">
        <v>2149</v>
      </c>
      <c r="C544" s="132">
        <v>45676</v>
      </c>
      <c r="D544" s="122" t="s">
        <v>433</v>
      </c>
      <c r="E544" s="92" t="s">
        <v>1626</v>
      </c>
      <c r="F544" t="s">
        <v>818</v>
      </c>
      <c r="I544" s="122">
        <v>1</v>
      </c>
      <c r="J544" s="92">
        <v>0</v>
      </c>
      <c r="K544" s="122">
        <v>0</v>
      </c>
      <c r="L544" s="92" t="s">
        <v>798</v>
      </c>
      <c r="M544" s="92"/>
      <c r="N544" s="92" t="s">
        <v>646</v>
      </c>
      <c r="O544" s="92" t="s">
        <v>1789</v>
      </c>
      <c r="P544" s="92"/>
      <c r="Q544" s="92" t="s">
        <v>1796</v>
      </c>
      <c r="R544" s="92" t="s">
        <v>1794</v>
      </c>
      <c r="S544" s="133">
        <v>38937</v>
      </c>
      <c r="T544" s="133">
        <v>38937</v>
      </c>
      <c r="U544" s="92" t="s">
        <v>817</v>
      </c>
      <c r="V544" s="122">
        <v>1200</v>
      </c>
      <c r="W544" s="122">
        <v>14050</v>
      </c>
      <c r="X544" s="113">
        <v>4756</v>
      </c>
      <c r="Y544" s="122">
        <v>14056</v>
      </c>
      <c r="Z544" s="113">
        <v>4756</v>
      </c>
      <c r="AA544" s="113">
        <v>0</v>
      </c>
      <c r="AB544" s="113">
        <v>0</v>
      </c>
      <c r="AC544" s="122">
        <v>54260</v>
      </c>
      <c r="AD544" s="113">
        <v>0</v>
      </c>
      <c r="AE544" s="122" t="s">
        <v>433</v>
      </c>
      <c r="AF544" s="92"/>
      <c r="AG544" s="92"/>
      <c r="AH544" s="92" t="s">
        <v>2</v>
      </c>
      <c r="AI544" s="92" t="s">
        <v>1785</v>
      </c>
      <c r="AJ544" s="92" t="s">
        <v>1787</v>
      </c>
      <c r="AK544" s="92" t="s">
        <v>1779</v>
      </c>
      <c r="AL544" s="92">
        <v>0</v>
      </c>
      <c r="AM544" s="92">
        <v>0</v>
      </c>
    </row>
    <row r="545" spans="2:39">
      <c r="B545" s="122">
        <v>2149</v>
      </c>
      <c r="C545" s="132">
        <v>45675</v>
      </c>
      <c r="D545" s="122" t="s">
        <v>433</v>
      </c>
      <c r="E545" s="92" t="s">
        <v>1626</v>
      </c>
      <c r="F545" t="s">
        <v>816</v>
      </c>
      <c r="I545" s="122">
        <v>33</v>
      </c>
      <c r="J545" s="92">
        <v>0</v>
      </c>
      <c r="K545" s="122">
        <v>0</v>
      </c>
      <c r="L545" s="92" t="s">
        <v>798</v>
      </c>
      <c r="M545" s="92"/>
      <c r="N545" s="92" t="s">
        <v>646</v>
      </c>
      <c r="O545" s="92" t="s">
        <v>1789</v>
      </c>
      <c r="P545" s="92"/>
      <c r="Q545" s="92" t="s">
        <v>1792</v>
      </c>
      <c r="R545" s="92" t="s">
        <v>1791</v>
      </c>
      <c r="S545" s="133">
        <v>38937</v>
      </c>
      <c r="T545" s="133">
        <v>38937</v>
      </c>
      <c r="U545" s="92" t="s">
        <v>815</v>
      </c>
      <c r="V545" s="122">
        <v>1200</v>
      </c>
      <c r="W545" s="122">
        <v>14050</v>
      </c>
      <c r="X545" s="113">
        <v>13728</v>
      </c>
      <c r="Y545" s="122">
        <v>14056</v>
      </c>
      <c r="Z545" s="113">
        <v>13728</v>
      </c>
      <c r="AA545" s="113">
        <v>0</v>
      </c>
      <c r="AB545" s="113">
        <v>0</v>
      </c>
      <c r="AC545" s="122">
        <v>54260</v>
      </c>
      <c r="AD545" s="113">
        <v>0</v>
      </c>
      <c r="AE545" s="122" t="s">
        <v>433</v>
      </c>
      <c r="AF545" s="92"/>
      <c r="AG545" s="92"/>
      <c r="AH545" s="92" t="s">
        <v>2</v>
      </c>
      <c r="AI545" s="92" t="s">
        <v>1785</v>
      </c>
      <c r="AJ545" s="92" t="s">
        <v>1787</v>
      </c>
      <c r="AK545" s="92" t="s">
        <v>1779</v>
      </c>
      <c r="AL545" s="92">
        <v>0</v>
      </c>
      <c r="AM545" s="92">
        <v>0</v>
      </c>
    </row>
    <row r="546" spans="2:39">
      <c r="B546" s="122">
        <v>2149</v>
      </c>
      <c r="C546" s="132">
        <v>45239</v>
      </c>
      <c r="D546" s="122" t="s">
        <v>433</v>
      </c>
      <c r="E546" s="92" t="s">
        <v>1626</v>
      </c>
      <c r="F546" t="s">
        <v>814</v>
      </c>
      <c r="I546" s="122">
        <v>1</v>
      </c>
      <c r="J546" s="92">
        <v>0</v>
      </c>
      <c r="K546" s="122">
        <v>0</v>
      </c>
      <c r="L546" s="92" t="s">
        <v>798</v>
      </c>
      <c r="M546" s="92"/>
      <c r="N546" s="92" t="s">
        <v>646</v>
      </c>
      <c r="O546" s="92" t="s">
        <v>1789</v>
      </c>
      <c r="P546" s="92"/>
      <c r="Q546" s="92" t="s">
        <v>1796</v>
      </c>
      <c r="R546" s="92" t="s">
        <v>1794</v>
      </c>
      <c r="S546" s="133">
        <v>38937</v>
      </c>
      <c r="T546" s="133">
        <v>38937</v>
      </c>
      <c r="U546" s="92" t="s">
        <v>813</v>
      </c>
      <c r="V546" s="122">
        <v>1200</v>
      </c>
      <c r="W546" s="122">
        <v>14050</v>
      </c>
      <c r="X546" s="113">
        <v>4350</v>
      </c>
      <c r="Y546" s="122">
        <v>14056</v>
      </c>
      <c r="Z546" s="113">
        <v>4350</v>
      </c>
      <c r="AA546" s="113">
        <v>0</v>
      </c>
      <c r="AB546" s="113">
        <v>0</v>
      </c>
      <c r="AC546" s="122">
        <v>54260</v>
      </c>
      <c r="AD546" s="113">
        <v>0</v>
      </c>
      <c r="AE546" s="122" t="s">
        <v>433</v>
      </c>
      <c r="AF546" s="92"/>
      <c r="AG546" s="92"/>
      <c r="AH546" s="92" t="s">
        <v>2</v>
      </c>
      <c r="AI546" s="92" t="s">
        <v>1785</v>
      </c>
      <c r="AJ546" s="92" t="s">
        <v>1787</v>
      </c>
      <c r="AK546" s="92" t="s">
        <v>1779</v>
      </c>
      <c r="AL546" s="92">
        <v>0</v>
      </c>
      <c r="AM546" s="92">
        <v>0</v>
      </c>
    </row>
    <row r="547" spans="2:39">
      <c r="B547" s="122">
        <v>2149</v>
      </c>
      <c r="C547" s="132">
        <v>45238</v>
      </c>
      <c r="D547" s="122" t="s">
        <v>433</v>
      </c>
      <c r="E547" s="92" t="s">
        <v>1626</v>
      </c>
      <c r="F547" t="s">
        <v>812</v>
      </c>
      <c r="I547" s="122">
        <v>4</v>
      </c>
      <c r="J547" s="92">
        <v>0</v>
      </c>
      <c r="K547" s="122">
        <v>0</v>
      </c>
      <c r="L547" s="92" t="s">
        <v>798</v>
      </c>
      <c r="M547" s="92"/>
      <c r="N547" s="92" t="s">
        <v>646</v>
      </c>
      <c r="O547" s="92" t="s">
        <v>1789</v>
      </c>
      <c r="P547" s="92"/>
      <c r="Q547" s="92" t="s">
        <v>1796</v>
      </c>
      <c r="R547" s="92" t="s">
        <v>1794</v>
      </c>
      <c r="S547" s="133">
        <v>38937</v>
      </c>
      <c r="T547" s="133">
        <v>38937</v>
      </c>
      <c r="U547" s="92" t="s">
        <v>811</v>
      </c>
      <c r="V547" s="122">
        <v>1200</v>
      </c>
      <c r="W547" s="122">
        <v>14050</v>
      </c>
      <c r="X547" s="113">
        <v>14280</v>
      </c>
      <c r="Y547" s="122">
        <v>14056</v>
      </c>
      <c r="Z547" s="113">
        <v>14280</v>
      </c>
      <c r="AA547" s="113">
        <v>0</v>
      </c>
      <c r="AB547" s="113">
        <v>0</v>
      </c>
      <c r="AC547" s="122">
        <v>54260</v>
      </c>
      <c r="AD547" s="113">
        <v>0</v>
      </c>
      <c r="AE547" s="122" t="s">
        <v>433</v>
      </c>
      <c r="AF547" s="92"/>
      <c r="AG547" s="92"/>
      <c r="AH547" s="92" t="s">
        <v>2</v>
      </c>
      <c r="AI547" s="92" t="s">
        <v>1785</v>
      </c>
      <c r="AJ547" s="92" t="s">
        <v>1787</v>
      </c>
      <c r="AK547" s="92" t="s">
        <v>1779</v>
      </c>
      <c r="AL547" s="92">
        <v>0</v>
      </c>
      <c r="AM547" s="92">
        <v>0</v>
      </c>
    </row>
    <row r="548" spans="2:39">
      <c r="B548" s="122">
        <v>2149</v>
      </c>
      <c r="C548" s="132">
        <v>45066</v>
      </c>
      <c r="D548" s="122" t="s">
        <v>433</v>
      </c>
      <c r="E548" s="92" t="s">
        <v>1626</v>
      </c>
      <c r="F548" t="s">
        <v>810</v>
      </c>
      <c r="I548" s="122">
        <v>1</v>
      </c>
      <c r="J548" s="92" t="s">
        <v>809</v>
      </c>
      <c r="K548" s="122">
        <v>2007</v>
      </c>
      <c r="L548" s="92" t="s">
        <v>724</v>
      </c>
      <c r="M548" s="92" t="s">
        <v>685</v>
      </c>
      <c r="N548" s="92" t="s">
        <v>1788</v>
      </c>
      <c r="O548" s="92" t="s">
        <v>1789</v>
      </c>
      <c r="P548" s="92" t="s">
        <v>1802</v>
      </c>
      <c r="Q548" s="92"/>
      <c r="R548" s="92"/>
      <c r="S548" s="133">
        <v>38925</v>
      </c>
      <c r="T548" s="133">
        <v>38925</v>
      </c>
      <c r="U548" s="92" t="s">
        <v>808</v>
      </c>
      <c r="V548" s="122">
        <v>1000</v>
      </c>
      <c r="W548" s="122">
        <v>14040</v>
      </c>
      <c r="X548" s="113">
        <v>128063.15</v>
      </c>
      <c r="Y548" s="122">
        <v>14046</v>
      </c>
      <c r="Z548" s="113">
        <v>128063.15</v>
      </c>
      <c r="AA548" s="113">
        <v>0</v>
      </c>
      <c r="AB548" s="113">
        <v>0</v>
      </c>
      <c r="AC548" s="122">
        <v>51260</v>
      </c>
      <c r="AD548" s="113">
        <v>0</v>
      </c>
      <c r="AE548" s="122" t="s">
        <v>433</v>
      </c>
      <c r="AF548" s="92"/>
      <c r="AG548" s="92">
        <v>7</v>
      </c>
      <c r="AH548" s="92" t="s">
        <v>2</v>
      </c>
      <c r="AI548" s="92" t="s">
        <v>1785</v>
      </c>
      <c r="AJ548" s="92" t="s">
        <v>1787</v>
      </c>
      <c r="AK548" s="92" t="s">
        <v>1779</v>
      </c>
      <c r="AL548" s="92">
        <v>0</v>
      </c>
      <c r="AM548" s="92">
        <v>0</v>
      </c>
    </row>
    <row r="549" spans="2:39">
      <c r="B549" s="122">
        <v>2149</v>
      </c>
      <c r="C549" s="132">
        <v>44804</v>
      </c>
      <c r="D549" s="122" t="s">
        <v>433</v>
      </c>
      <c r="E549" s="92" t="s">
        <v>1626</v>
      </c>
      <c r="F549" t="s">
        <v>807</v>
      </c>
      <c r="I549" s="122">
        <v>2</v>
      </c>
      <c r="J549" s="92">
        <v>0</v>
      </c>
      <c r="K549" s="122">
        <v>0</v>
      </c>
      <c r="L549" s="92" t="s">
        <v>798</v>
      </c>
      <c r="M549" s="92"/>
      <c r="N549" s="92" t="s">
        <v>646</v>
      </c>
      <c r="O549" s="92" t="s">
        <v>1789</v>
      </c>
      <c r="P549" s="92"/>
      <c r="Q549" s="92" t="s">
        <v>1796</v>
      </c>
      <c r="R549" s="92" t="s">
        <v>1794</v>
      </c>
      <c r="S549" s="133">
        <v>38807</v>
      </c>
      <c r="T549" s="133">
        <v>38807</v>
      </c>
      <c r="U549" s="92" t="s">
        <v>806</v>
      </c>
      <c r="V549" s="122">
        <v>1200</v>
      </c>
      <c r="W549" s="122">
        <v>14050</v>
      </c>
      <c r="X549" s="113">
        <v>8600</v>
      </c>
      <c r="Y549" s="122">
        <v>14056</v>
      </c>
      <c r="Z549" s="113">
        <v>8600</v>
      </c>
      <c r="AA549" s="113">
        <v>0</v>
      </c>
      <c r="AB549" s="113">
        <v>0</v>
      </c>
      <c r="AC549" s="122">
        <v>54260</v>
      </c>
      <c r="AD549" s="113">
        <v>0</v>
      </c>
      <c r="AE549" s="122" t="s">
        <v>433</v>
      </c>
      <c r="AF549" s="92"/>
      <c r="AG549" s="92"/>
      <c r="AH549" s="92" t="s">
        <v>2</v>
      </c>
      <c r="AI549" s="92" t="s">
        <v>1785</v>
      </c>
      <c r="AJ549" s="92" t="s">
        <v>1787</v>
      </c>
      <c r="AK549" s="92" t="s">
        <v>1779</v>
      </c>
      <c r="AL549" s="92">
        <v>0</v>
      </c>
      <c r="AM549" s="92">
        <v>0</v>
      </c>
    </row>
    <row r="550" spans="2:39">
      <c r="B550" s="122">
        <v>2149</v>
      </c>
      <c r="C550" s="132">
        <v>44803</v>
      </c>
      <c r="D550" s="122" t="s">
        <v>433</v>
      </c>
      <c r="E550" s="92" t="s">
        <v>1626</v>
      </c>
      <c r="F550" t="s">
        <v>805</v>
      </c>
      <c r="I550" s="122">
        <v>2</v>
      </c>
      <c r="J550" s="92">
        <v>0</v>
      </c>
      <c r="K550" s="122">
        <v>0</v>
      </c>
      <c r="L550" s="92" t="s">
        <v>798</v>
      </c>
      <c r="M550" s="92"/>
      <c r="N550" s="92" t="s">
        <v>646</v>
      </c>
      <c r="O550" s="92" t="s">
        <v>1789</v>
      </c>
      <c r="P550" s="92"/>
      <c r="Q550" s="92" t="s">
        <v>1796</v>
      </c>
      <c r="R550" s="92" t="s">
        <v>1794</v>
      </c>
      <c r="S550" s="133">
        <v>38807</v>
      </c>
      <c r="T550" s="133">
        <v>38807</v>
      </c>
      <c r="U550" s="92" t="s">
        <v>804</v>
      </c>
      <c r="V550" s="122">
        <v>1200</v>
      </c>
      <c r="W550" s="122">
        <v>14050</v>
      </c>
      <c r="X550" s="113">
        <v>8700</v>
      </c>
      <c r="Y550" s="122">
        <v>14056</v>
      </c>
      <c r="Z550" s="113">
        <v>8700</v>
      </c>
      <c r="AA550" s="113">
        <v>0</v>
      </c>
      <c r="AB550" s="113">
        <v>0</v>
      </c>
      <c r="AC550" s="122">
        <v>54260</v>
      </c>
      <c r="AD550" s="113">
        <v>0</v>
      </c>
      <c r="AE550" s="122" t="s">
        <v>433</v>
      </c>
      <c r="AF550" s="92"/>
      <c r="AG550" s="92"/>
      <c r="AH550" s="92" t="s">
        <v>2</v>
      </c>
      <c r="AI550" s="92" t="s">
        <v>1785</v>
      </c>
      <c r="AJ550" s="92" t="s">
        <v>1787</v>
      </c>
      <c r="AK550" s="92" t="s">
        <v>1779</v>
      </c>
      <c r="AL550" s="92">
        <v>0</v>
      </c>
      <c r="AM550" s="92">
        <v>0</v>
      </c>
    </row>
    <row r="551" spans="2:39">
      <c r="B551" s="122">
        <v>2149</v>
      </c>
      <c r="C551" s="132">
        <v>44802</v>
      </c>
      <c r="D551" s="122" t="s">
        <v>433</v>
      </c>
      <c r="E551" s="92" t="s">
        <v>1626</v>
      </c>
      <c r="F551" t="s">
        <v>803</v>
      </c>
      <c r="I551" s="122">
        <v>8</v>
      </c>
      <c r="J551" s="92">
        <v>0</v>
      </c>
      <c r="K551" s="122">
        <v>0</v>
      </c>
      <c r="L551" s="92" t="s">
        <v>798</v>
      </c>
      <c r="M551" s="92"/>
      <c r="N551" s="92" t="s">
        <v>646</v>
      </c>
      <c r="O551" s="92" t="s">
        <v>1789</v>
      </c>
      <c r="P551" s="92"/>
      <c r="Q551" s="92" t="s">
        <v>1796</v>
      </c>
      <c r="R551" s="92" t="s">
        <v>1794</v>
      </c>
      <c r="S551" s="133">
        <v>38807</v>
      </c>
      <c r="T551" s="133">
        <v>38807</v>
      </c>
      <c r="U551" s="92" t="s">
        <v>802</v>
      </c>
      <c r="V551" s="122">
        <v>1200</v>
      </c>
      <c r="W551" s="122">
        <v>14050</v>
      </c>
      <c r="X551" s="113">
        <v>28560</v>
      </c>
      <c r="Y551" s="122">
        <v>14056</v>
      </c>
      <c r="Z551" s="113">
        <v>28560</v>
      </c>
      <c r="AA551" s="113">
        <v>0</v>
      </c>
      <c r="AB551" s="113">
        <v>0</v>
      </c>
      <c r="AC551" s="122">
        <v>54260</v>
      </c>
      <c r="AD551" s="113">
        <v>0</v>
      </c>
      <c r="AE551" s="122" t="s">
        <v>433</v>
      </c>
      <c r="AF551" s="92"/>
      <c r="AG551" s="92"/>
      <c r="AH551" s="92" t="s">
        <v>2</v>
      </c>
      <c r="AI551" s="92" t="s">
        <v>1785</v>
      </c>
      <c r="AJ551" s="92" t="s">
        <v>1787</v>
      </c>
      <c r="AK551" s="92" t="s">
        <v>1779</v>
      </c>
      <c r="AL551" s="92">
        <v>0</v>
      </c>
      <c r="AM551" s="92">
        <v>0</v>
      </c>
    </row>
    <row r="552" spans="2:39">
      <c r="B552" s="122">
        <v>2149</v>
      </c>
      <c r="C552" s="132">
        <v>44527</v>
      </c>
      <c r="D552" s="122" t="s">
        <v>433</v>
      </c>
      <c r="E552" s="92" t="s">
        <v>1626</v>
      </c>
      <c r="F552" t="s">
        <v>801</v>
      </c>
      <c r="I552" s="122">
        <v>4</v>
      </c>
      <c r="J552" s="92">
        <v>0</v>
      </c>
      <c r="K552" s="122">
        <v>0</v>
      </c>
      <c r="L552" s="92" t="s">
        <v>798</v>
      </c>
      <c r="M552" s="92"/>
      <c r="N552" s="92" t="s">
        <v>646</v>
      </c>
      <c r="O552" s="92" t="s">
        <v>1789</v>
      </c>
      <c r="P552" s="92"/>
      <c r="Q552" s="92" t="s">
        <v>1793</v>
      </c>
      <c r="R552" s="92" t="s">
        <v>1794</v>
      </c>
      <c r="S552" s="133">
        <v>38807</v>
      </c>
      <c r="T552" s="133">
        <v>38807</v>
      </c>
      <c r="U552" s="92" t="s">
        <v>800</v>
      </c>
      <c r="V552" s="122">
        <v>1200</v>
      </c>
      <c r="W552" s="122">
        <v>14050</v>
      </c>
      <c r="X552" s="113">
        <v>21480</v>
      </c>
      <c r="Y552" s="122">
        <v>14056</v>
      </c>
      <c r="Z552" s="113">
        <v>21480</v>
      </c>
      <c r="AA552" s="113">
        <v>0</v>
      </c>
      <c r="AB552" s="113">
        <v>0</v>
      </c>
      <c r="AC552" s="122">
        <v>54260</v>
      </c>
      <c r="AD552" s="113">
        <v>0</v>
      </c>
      <c r="AE552" s="122" t="s">
        <v>433</v>
      </c>
      <c r="AF552" s="92"/>
      <c r="AG552" s="92"/>
      <c r="AH552" s="92" t="s">
        <v>2</v>
      </c>
      <c r="AI552" s="92" t="s">
        <v>1785</v>
      </c>
      <c r="AJ552" s="92" t="s">
        <v>1787</v>
      </c>
      <c r="AK552" s="92" t="s">
        <v>1779</v>
      </c>
      <c r="AL552" s="92">
        <v>0</v>
      </c>
      <c r="AM552" s="92">
        <v>0</v>
      </c>
    </row>
    <row r="553" spans="2:39">
      <c r="B553" s="122">
        <v>2149</v>
      </c>
      <c r="C553" s="132">
        <v>44526</v>
      </c>
      <c r="D553" s="122" t="s">
        <v>433</v>
      </c>
      <c r="E553" s="92" t="s">
        <v>1626</v>
      </c>
      <c r="F553" t="s">
        <v>799</v>
      </c>
      <c r="I553" s="122">
        <v>1</v>
      </c>
      <c r="J553" s="92">
        <v>0</v>
      </c>
      <c r="K553" s="122">
        <v>0</v>
      </c>
      <c r="L553" s="92" t="s">
        <v>798</v>
      </c>
      <c r="M553" s="92"/>
      <c r="N553" s="92" t="s">
        <v>646</v>
      </c>
      <c r="O553" s="92" t="s">
        <v>1789</v>
      </c>
      <c r="P553" s="92"/>
      <c r="Q553" s="92" t="s">
        <v>1811</v>
      </c>
      <c r="R553" s="92" t="s">
        <v>1794</v>
      </c>
      <c r="S553" s="133">
        <v>38807</v>
      </c>
      <c r="T553" s="133">
        <v>38807</v>
      </c>
      <c r="U553" s="92" t="s">
        <v>797</v>
      </c>
      <c r="V553" s="122">
        <v>1200</v>
      </c>
      <c r="W553" s="122">
        <v>14050</v>
      </c>
      <c r="X553" s="113">
        <v>2650</v>
      </c>
      <c r="Y553" s="122">
        <v>14056</v>
      </c>
      <c r="Z553" s="113">
        <v>2650</v>
      </c>
      <c r="AA553" s="113">
        <v>0</v>
      </c>
      <c r="AB553" s="113">
        <v>0</v>
      </c>
      <c r="AC553" s="122">
        <v>54260</v>
      </c>
      <c r="AD553" s="113">
        <v>0</v>
      </c>
      <c r="AE553" s="122" t="s">
        <v>433</v>
      </c>
      <c r="AF553" s="92"/>
      <c r="AG553" s="92"/>
      <c r="AH553" s="92" t="s">
        <v>2</v>
      </c>
      <c r="AI553" s="92" t="s">
        <v>1785</v>
      </c>
      <c r="AJ553" s="92" t="s">
        <v>1787</v>
      </c>
      <c r="AK553" s="92" t="s">
        <v>1779</v>
      </c>
      <c r="AL553" s="92">
        <v>0</v>
      </c>
      <c r="AM553" s="92">
        <v>0</v>
      </c>
    </row>
    <row r="554" spans="2:39">
      <c r="B554" s="122">
        <v>2149</v>
      </c>
      <c r="C554" s="132">
        <v>44525</v>
      </c>
      <c r="D554" s="122" t="s">
        <v>433</v>
      </c>
      <c r="E554" s="92" t="s">
        <v>1626</v>
      </c>
      <c r="F554" t="s">
        <v>796</v>
      </c>
      <c r="I554" s="122">
        <v>10</v>
      </c>
      <c r="J554" s="92">
        <v>0</v>
      </c>
      <c r="K554" s="122">
        <v>0</v>
      </c>
      <c r="L554" s="92" t="s">
        <v>791</v>
      </c>
      <c r="M554" s="92"/>
      <c r="N554" s="92" t="s">
        <v>646</v>
      </c>
      <c r="O554" s="92" t="s">
        <v>1789</v>
      </c>
      <c r="P554" s="92"/>
      <c r="Q554" s="92" t="s">
        <v>1790</v>
      </c>
      <c r="R554" s="92" t="s">
        <v>1791</v>
      </c>
      <c r="S554" s="133">
        <v>38805</v>
      </c>
      <c r="T554" s="133">
        <v>38805</v>
      </c>
      <c r="U554" s="92" t="s">
        <v>795</v>
      </c>
      <c r="V554" s="122">
        <v>1200</v>
      </c>
      <c r="W554" s="122">
        <v>14050</v>
      </c>
      <c r="X554" s="113">
        <v>4150</v>
      </c>
      <c r="Y554" s="122">
        <v>14056</v>
      </c>
      <c r="Z554" s="113">
        <v>4150</v>
      </c>
      <c r="AA554" s="113">
        <v>0</v>
      </c>
      <c r="AB554" s="113">
        <v>0</v>
      </c>
      <c r="AC554" s="122">
        <v>54260</v>
      </c>
      <c r="AD554" s="113">
        <v>0</v>
      </c>
      <c r="AE554" s="122" t="s">
        <v>433</v>
      </c>
      <c r="AF554" s="92"/>
      <c r="AG554" s="92"/>
      <c r="AH554" s="92" t="s">
        <v>2</v>
      </c>
      <c r="AI554" s="92" t="s">
        <v>1785</v>
      </c>
      <c r="AJ554" s="92" t="s">
        <v>1787</v>
      </c>
      <c r="AK554" s="92" t="s">
        <v>1779</v>
      </c>
      <c r="AL554" s="92">
        <v>0</v>
      </c>
      <c r="AM554" s="92">
        <v>0</v>
      </c>
    </row>
    <row r="555" spans="2:39">
      <c r="B555" s="122">
        <v>2149</v>
      </c>
      <c r="C555" s="132">
        <v>43554</v>
      </c>
      <c r="D555" s="122" t="s">
        <v>433</v>
      </c>
      <c r="E555" s="92" t="s">
        <v>1626</v>
      </c>
      <c r="F555" t="s">
        <v>794</v>
      </c>
      <c r="I555" s="122">
        <v>50</v>
      </c>
      <c r="J555" s="92">
        <v>0</v>
      </c>
      <c r="K555" s="122">
        <v>0</v>
      </c>
      <c r="L555" s="92" t="s">
        <v>791</v>
      </c>
      <c r="M555" s="92"/>
      <c r="N555" s="92" t="s">
        <v>646</v>
      </c>
      <c r="O555" s="92" t="s">
        <v>1789</v>
      </c>
      <c r="P555" s="92"/>
      <c r="Q555" s="92" t="s">
        <v>1792</v>
      </c>
      <c r="R555" s="92" t="s">
        <v>1791</v>
      </c>
      <c r="S555" s="133">
        <v>38765</v>
      </c>
      <c r="T555" s="133">
        <v>38765</v>
      </c>
      <c r="U555" s="92" t="s">
        <v>793</v>
      </c>
      <c r="V555" s="122">
        <v>1200</v>
      </c>
      <c r="W555" s="122">
        <v>14050</v>
      </c>
      <c r="X555" s="113">
        <v>21750</v>
      </c>
      <c r="Y555" s="122">
        <v>14056</v>
      </c>
      <c r="Z555" s="113">
        <v>21750</v>
      </c>
      <c r="AA555" s="113">
        <v>0</v>
      </c>
      <c r="AB555" s="113">
        <v>0</v>
      </c>
      <c r="AC555" s="122">
        <v>54260</v>
      </c>
      <c r="AD555" s="113">
        <v>0</v>
      </c>
      <c r="AE555" s="122" t="s">
        <v>433</v>
      </c>
      <c r="AF555" s="92"/>
      <c r="AG555" s="92"/>
      <c r="AH555" s="92" t="s">
        <v>2</v>
      </c>
      <c r="AI555" s="92" t="s">
        <v>1785</v>
      </c>
      <c r="AJ555" s="92" t="s">
        <v>1787</v>
      </c>
      <c r="AK555" s="92" t="s">
        <v>1779</v>
      </c>
      <c r="AL555" s="92">
        <v>0</v>
      </c>
      <c r="AM555" s="92">
        <v>0</v>
      </c>
    </row>
    <row r="556" spans="2:39">
      <c r="B556" s="122">
        <v>2149</v>
      </c>
      <c r="C556" s="132">
        <v>43533</v>
      </c>
      <c r="D556" s="122" t="s">
        <v>433</v>
      </c>
      <c r="E556" s="92" t="s">
        <v>1626</v>
      </c>
      <c r="F556" t="s">
        <v>792</v>
      </c>
      <c r="I556" s="122">
        <v>2</v>
      </c>
      <c r="J556" s="92">
        <v>0</v>
      </c>
      <c r="K556" s="122">
        <v>0</v>
      </c>
      <c r="L556" s="92" t="s">
        <v>791</v>
      </c>
      <c r="M556" s="92"/>
      <c r="N556" s="92" t="s">
        <v>646</v>
      </c>
      <c r="O556" s="92" t="s">
        <v>1789</v>
      </c>
      <c r="P556" s="92"/>
      <c r="Q556" s="92" t="s">
        <v>1796</v>
      </c>
      <c r="R556" s="92" t="s">
        <v>1794</v>
      </c>
      <c r="S556" s="133">
        <v>38718</v>
      </c>
      <c r="T556" s="133">
        <v>38718</v>
      </c>
      <c r="U556" s="92" t="s">
        <v>788</v>
      </c>
      <c r="V556" s="122">
        <v>1110</v>
      </c>
      <c r="W556" s="122">
        <v>14050</v>
      </c>
      <c r="X556" s="113">
        <v>7200</v>
      </c>
      <c r="Y556" s="122">
        <v>14056</v>
      </c>
      <c r="Z556" s="113">
        <v>7200</v>
      </c>
      <c r="AA556" s="113">
        <v>0</v>
      </c>
      <c r="AB556" s="113">
        <v>0</v>
      </c>
      <c r="AC556" s="122">
        <v>54260</v>
      </c>
      <c r="AD556" s="113">
        <v>0</v>
      </c>
      <c r="AE556" s="122" t="s">
        <v>433</v>
      </c>
      <c r="AF556" s="92"/>
      <c r="AG556" s="92"/>
      <c r="AH556" s="92" t="s">
        <v>2</v>
      </c>
      <c r="AI556" s="92" t="s">
        <v>1785</v>
      </c>
      <c r="AJ556" s="92" t="s">
        <v>1787</v>
      </c>
      <c r="AK556" s="92" t="s">
        <v>1779</v>
      </c>
      <c r="AL556" s="92">
        <v>0</v>
      </c>
      <c r="AM556" s="92">
        <v>0</v>
      </c>
    </row>
    <row r="557" spans="2:39">
      <c r="B557" s="122">
        <v>2149</v>
      </c>
      <c r="C557" s="132">
        <v>41652</v>
      </c>
      <c r="D557" s="122" t="s">
        <v>433</v>
      </c>
      <c r="E557" s="92" t="s">
        <v>1626</v>
      </c>
      <c r="F557" t="s">
        <v>790</v>
      </c>
      <c r="I557" s="122">
        <v>2</v>
      </c>
      <c r="J557" s="92">
        <v>0</v>
      </c>
      <c r="K557" s="122">
        <v>0</v>
      </c>
      <c r="L557" s="92" t="s">
        <v>789</v>
      </c>
      <c r="M557" s="92"/>
      <c r="N557" s="92" t="s">
        <v>646</v>
      </c>
      <c r="O557" s="92" t="s">
        <v>1789</v>
      </c>
      <c r="P557" s="92"/>
      <c r="Q557" s="92" t="s">
        <v>1796</v>
      </c>
      <c r="R557" s="92" t="s">
        <v>1794</v>
      </c>
      <c r="S557" s="133">
        <v>38718</v>
      </c>
      <c r="T557" s="133">
        <v>38718</v>
      </c>
      <c r="U557" s="92" t="s">
        <v>788</v>
      </c>
      <c r="V557" s="122">
        <v>1110</v>
      </c>
      <c r="W557" s="122">
        <v>14050</v>
      </c>
      <c r="X557" s="113">
        <v>7200</v>
      </c>
      <c r="Y557" s="122">
        <v>14056</v>
      </c>
      <c r="Z557" s="113">
        <v>7200</v>
      </c>
      <c r="AA557" s="113">
        <v>0</v>
      </c>
      <c r="AB557" s="113">
        <v>0</v>
      </c>
      <c r="AC557" s="122">
        <v>54260</v>
      </c>
      <c r="AD557" s="113">
        <v>0</v>
      </c>
      <c r="AE557" s="122" t="s">
        <v>433</v>
      </c>
      <c r="AF557" s="92"/>
      <c r="AG557" s="92"/>
      <c r="AH557" s="92" t="s">
        <v>2</v>
      </c>
      <c r="AI557" s="92" t="s">
        <v>1785</v>
      </c>
      <c r="AJ557" s="92" t="s">
        <v>1787</v>
      </c>
      <c r="AK557" s="92" t="s">
        <v>1779</v>
      </c>
      <c r="AL557" s="92">
        <v>0</v>
      </c>
      <c r="AM557" s="92">
        <v>0</v>
      </c>
    </row>
    <row r="558" spans="2:39">
      <c r="B558" s="122">
        <v>2149</v>
      </c>
      <c r="C558" s="132">
        <v>37579</v>
      </c>
      <c r="D558" s="122" t="s">
        <v>433</v>
      </c>
      <c r="E558" s="92" t="s">
        <v>1626</v>
      </c>
      <c r="F558" t="s">
        <v>787</v>
      </c>
      <c r="I558" s="122">
        <v>1</v>
      </c>
      <c r="J558" s="92"/>
      <c r="K558" s="122">
        <v>0</v>
      </c>
      <c r="L558" s="92" t="s">
        <v>786</v>
      </c>
      <c r="M558" s="92"/>
      <c r="N558" s="92" t="s">
        <v>1800</v>
      </c>
      <c r="O558" s="92" t="s">
        <v>1800</v>
      </c>
      <c r="P558" s="92"/>
      <c r="Q558" s="92"/>
      <c r="R558" s="92"/>
      <c r="S558" s="133">
        <v>38611</v>
      </c>
      <c r="T558" s="133">
        <v>38611</v>
      </c>
      <c r="U558" s="92">
        <v>52149005</v>
      </c>
      <c r="V558" s="122">
        <v>511</v>
      </c>
      <c r="W558" s="122">
        <v>14090</v>
      </c>
      <c r="X558" s="113">
        <v>4273.5200000000004</v>
      </c>
      <c r="Y558" s="122">
        <v>14096</v>
      </c>
      <c r="Z558" s="113">
        <v>4273.5200000000004</v>
      </c>
      <c r="AA558" s="113">
        <v>0</v>
      </c>
      <c r="AB558" s="113">
        <v>0</v>
      </c>
      <c r="AC558" s="122">
        <v>57260</v>
      </c>
      <c r="AD558" s="113">
        <v>0</v>
      </c>
      <c r="AE558" s="122" t="s">
        <v>433</v>
      </c>
      <c r="AF558" s="92">
        <v>0</v>
      </c>
      <c r="AG558" s="92"/>
      <c r="AH558" s="92" t="s">
        <v>2</v>
      </c>
      <c r="AI558" s="92" t="s">
        <v>1785</v>
      </c>
      <c r="AJ558" s="92" t="s">
        <v>1787</v>
      </c>
      <c r="AK558" s="92" t="e">
        <v>#N/A</v>
      </c>
      <c r="AL558" s="92" t="e">
        <v>#N/A</v>
      </c>
      <c r="AM558" s="92" t="e">
        <v>#N/A</v>
      </c>
    </row>
    <row r="559" spans="2:39">
      <c r="B559" s="122">
        <v>2149</v>
      </c>
      <c r="C559" s="132">
        <v>35124</v>
      </c>
      <c r="D559" s="122" t="s">
        <v>433</v>
      </c>
      <c r="E559" s="92" t="s">
        <v>1626</v>
      </c>
      <c r="F559" t="s">
        <v>785</v>
      </c>
      <c r="I559" s="122">
        <v>24</v>
      </c>
      <c r="J559" s="92"/>
      <c r="K559" s="122">
        <v>0</v>
      </c>
      <c r="L559" s="92" t="s">
        <v>784</v>
      </c>
      <c r="M559" s="92"/>
      <c r="N559" s="92" t="s">
        <v>646</v>
      </c>
      <c r="O559" s="92" t="s">
        <v>1789</v>
      </c>
      <c r="P559" s="92"/>
      <c r="Q559" s="92" t="s">
        <v>1792</v>
      </c>
      <c r="R559" s="92" t="s">
        <v>1791</v>
      </c>
      <c r="S559" s="133">
        <v>38503</v>
      </c>
      <c r="T559" s="133">
        <v>38503</v>
      </c>
      <c r="U559" s="92">
        <v>52149003</v>
      </c>
      <c r="V559" s="122">
        <v>1200</v>
      </c>
      <c r="W559" s="122">
        <v>14050</v>
      </c>
      <c r="X559" s="113">
        <v>10944</v>
      </c>
      <c r="Y559" s="122">
        <v>14056</v>
      </c>
      <c r="Z559" s="113">
        <v>10944</v>
      </c>
      <c r="AA559" s="113">
        <v>0</v>
      </c>
      <c r="AB559" s="113">
        <v>0</v>
      </c>
      <c r="AC559" s="122">
        <v>54260</v>
      </c>
      <c r="AD559" s="113">
        <v>0</v>
      </c>
      <c r="AE559" s="122" t="s">
        <v>433</v>
      </c>
      <c r="AF559" s="92">
        <v>0</v>
      </c>
      <c r="AG559" s="92"/>
      <c r="AH559" s="92" t="s">
        <v>2</v>
      </c>
      <c r="AI559" s="92" t="s">
        <v>1785</v>
      </c>
      <c r="AJ559" s="92" t="s">
        <v>1787</v>
      </c>
      <c r="AK559" s="92" t="s">
        <v>1779</v>
      </c>
      <c r="AL559" s="92">
        <v>0</v>
      </c>
      <c r="AM559" s="92">
        <v>0</v>
      </c>
    </row>
    <row r="560" spans="2:39">
      <c r="B560" s="122">
        <v>2149</v>
      </c>
      <c r="C560" s="132">
        <v>33335</v>
      </c>
      <c r="D560" s="122">
        <v>33233</v>
      </c>
      <c r="E560" s="92" t="s">
        <v>1626</v>
      </c>
      <c r="F560" t="s">
        <v>783</v>
      </c>
      <c r="I560" s="122">
        <v>1</v>
      </c>
      <c r="J560" s="92" t="s">
        <v>623</v>
      </c>
      <c r="K560" s="122">
        <v>1999</v>
      </c>
      <c r="L560" s="92" t="s">
        <v>782</v>
      </c>
      <c r="M560" s="92"/>
      <c r="N560" s="92" t="s">
        <v>1807</v>
      </c>
      <c r="O560" s="92" t="s">
        <v>1789</v>
      </c>
      <c r="P560" s="92" t="s">
        <v>233</v>
      </c>
      <c r="Q560" s="92"/>
      <c r="R560" s="92"/>
      <c r="S560" s="133">
        <v>38495</v>
      </c>
      <c r="T560" s="133">
        <v>38495</v>
      </c>
      <c r="U560" s="92">
        <v>52149002</v>
      </c>
      <c r="V560" s="122">
        <v>1000</v>
      </c>
      <c r="W560" s="122">
        <v>14030</v>
      </c>
      <c r="X560" s="113">
        <v>1000</v>
      </c>
      <c r="Y560" s="122">
        <v>14036</v>
      </c>
      <c r="Z560" s="113">
        <v>1000</v>
      </c>
      <c r="AA560" s="113">
        <v>0</v>
      </c>
      <c r="AB560" s="113">
        <v>0</v>
      </c>
      <c r="AC560" s="122">
        <v>51260</v>
      </c>
      <c r="AD560" s="113">
        <v>0</v>
      </c>
      <c r="AE560" s="122" t="s">
        <v>433</v>
      </c>
      <c r="AF560" s="92">
        <v>0</v>
      </c>
      <c r="AG560" s="92" t="s">
        <v>778</v>
      </c>
      <c r="AH560" s="92" t="s">
        <v>2</v>
      </c>
      <c r="AI560" s="92" t="s">
        <v>1785</v>
      </c>
      <c r="AJ560" s="92" t="s">
        <v>1787</v>
      </c>
      <c r="AK560" s="92" t="s">
        <v>1779</v>
      </c>
      <c r="AL560" s="92">
        <v>0</v>
      </c>
      <c r="AM560" s="92">
        <v>0</v>
      </c>
    </row>
    <row r="561" spans="2:39">
      <c r="B561" s="122">
        <v>2149</v>
      </c>
      <c r="C561" s="132">
        <v>33233</v>
      </c>
      <c r="D561" s="122" t="s">
        <v>433</v>
      </c>
      <c r="E561" s="92" t="s">
        <v>1626</v>
      </c>
      <c r="F561" t="s">
        <v>781</v>
      </c>
      <c r="I561" s="122">
        <v>1</v>
      </c>
      <c r="J561" s="92" t="s">
        <v>623</v>
      </c>
      <c r="K561" s="122">
        <v>1999</v>
      </c>
      <c r="L561" s="92" t="s">
        <v>780</v>
      </c>
      <c r="M561" s="92" t="s">
        <v>779</v>
      </c>
      <c r="N561" s="92" t="s">
        <v>1807</v>
      </c>
      <c r="O561" s="92" t="s">
        <v>1789</v>
      </c>
      <c r="P561" s="92" t="s">
        <v>233</v>
      </c>
      <c r="Q561" s="92"/>
      <c r="R561" s="92"/>
      <c r="S561" s="133">
        <v>38481</v>
      </c>
      <c r="T561" s="133">
        <v>38481</v>
      </c>
      <c r="U561" s="92">
        <v>52149002</v>
      </c>
      <c r="V561" s="122">
        <v>1000</v>
      </c>
      <c r="W561" s="122">
        <v>14030</v>
      </c>
      <c r="X561" s="113">
        <v>41867.199999999997</v>
      </c>
      <c r="Y561" s="122">
        <v>14036</v>
      </c>
      <c r="Z561" s="113">
        <v>41867.199999999997</v>
      </c>
      <c r="AA561" s="113">
        <v>0</v>
      </c>
      <c r="AB561" s="113">
        <v>0</v>
      </c>
      <c r="AC561" s="122">
        <v>51260</v>
      </c>
      <c r="AD561" s="113">
        <v>0</v>
      </c>
      <c r="AE561" s="122" t="s">
        <v>433</v>
      </c>
      <c r="AF561" s="92">
        <v>0</v>
      </c>
      <c r="AG561" s="92" t="s">
        <v>778</v>
      </c>
      <c r="AH561" s="92" t="s">
        <v>2</v>
      </c>
      <c r="AI561" s="92" t="s">
        <v>1785</v>
      </c>
      <c r="AJ561" s="92" t="s">
        <v>1787</v>
      </c>
      <c r="AK561" s="92" t="s">
        <v>1779</v>
      </c>
      <c r="AL561" s="92">
        <v>0</v>
      </c>
      <c r="AM561" s="92">
        <v>0</v>
      </c>
    </row>
    <row r="562" spans="2:39">
      <c r="B562" s="122">
        <v>2149</v>
      </c>
      <c r="C562" s="132">
        <v>29922</v>
      </c>
      <c r="D562" s="122" t="s">
        <v>433</v>
      </c>
      <c r="E562" s="92" t="s">
        <v>1626</v>
      </c>
      <c r="F562" t="s">
        <v>777</v>
      </c>
      <c r="I562" s="122">
        <v>1</v>
      </c>
      <c r="J562" s="92"/>
      <c r="K562" s="122">
        <v>0</v>
      </c>
      <c r="L562" s="92" t="s">
        <v>664</v>
      </c>
      <c r="M562" s="92"/>
      <c r="N562" s="92" t="s">
        <v>646</v>
      </c>
      <c r="O562" s="92" t="s">
        <v>1789</v>
      </c>
      <c r="P562" s="92"/>
      <c r="Q562" s="92"/>
      <c r="R562" s="92"/>
      <c r="S562" s="133">
        <v>38260</v>
      </c>
      <c r="T562" s="133">
        <v>38260</v>
      </c>
      <c r="U562" s="92"/>
      <c r="V562" s="122">
        <v>600</v>
      </c>
      <c r="W562" s="122">
        <v>14050</v>
      </c>
      <c r="X562" s="113">
        <v>1195.3399999999999</v>
      </c>
      <c r="Y562" s="122">
        <v>14056</v>
      </c>
      <c r="Z562" s="113">
        <v>1195.3399999999999</v>
      </c>
      <c r="AA562" s="113">
        <v>0</v>
      </c>
      <c r="AB562" s="113">
        <v>0</v>
      </c>
      <c r="AC562" s="122">
        <v>54260</v>
      </c>
      <c r="AD562" s="113">
        <v>0</v>
      </c>
      <c r="AE562" s="122" t="s">
        <v>433</v>
      </c>
      <c r="AF562" s="92">
        <v>0</v>
      </c>
      <c r="AG562" s="92"/>
      <c r="AH562" s="92" t="s">
        <v>2</v>
      </c>
      <c r="AI562" s="92" t="s">
        <v>1785</v>
      </c>
      <c r="AJ562" s="92" t="s">
        <v>1787</v>
      </c>
      <c r="AK562" s="92" t="s">
        <v>1779</v>
      </c>
      <c r="AL562" s="92">
        <v>0</v>
      </c>
      <c r="AM562" s="92">
        <v>0</v>
      </c>
    </row>
    <row r="563" spans="2:39">
      <c r="B563" s="122">
        <v>2149</v>
      </c>
      <c r="C563" s="132">
        <v>29921</v>
      </c>
      <c r="D563" s="122" t="s">
        <v>433</v>
      </c>
      <c r="E563" s="92" t="s">
        <v>1626</v>
      </c>
      <c r="F563" t="s">
        <v>776</v>
      </c>
      <c r="I563" s="122">
        <v>1</v>
      </c>
      <c r="J563" s="92"/>
      <c r="K563" s="122">
        <v>0</v>
      </c>
      <c r="L563" s="92" t="s">
        <v>664</v>
      </c>
      <c r="M563" s="92"/>
      <c r="N563" s="92" t="s">
        <v>646</v>
      </c>
      <c r="O563" s="92" t="s">
        <v>1789</v>
      </c>
      <c r="P563" s="92"/>
      <c r="Q563" s="92"/>
      <c r="R563" s="92"/>
      <c r="S563" s="133">
        <v>38138</v>
      </c>
      <c r="T563" s="133">
        <v>38138</v>
      </c>
      <c r="U563" s="92"/>
      <c r="V563" s="122">
        <v>600</v>
      </c>
      <c r="W563" s="122">
        <v>14050</v>
      </c>
      <c r="X563" s="113">
        <v>661.74</v>
      </c>
      <c r="Y563" s="122">
        <v>14056</v>
      </c>
      <c r="Z563" s="113">
        <v>661.74</v>
      </c>
      <c r="AA563" s="113">
        <v>0</v>
      </c>
      <c r="AB563" s="113">
        <v>0</v>
      </c>
      <c r="AC563" s="122">
        <v>54260</v>
      </c>
      <c r="AD563" s="113">
        <v>0</v>
      </c>
      <c r="AE563" s="122" t="s">
        <v>433</v>
      </c>
      <c r="AF563" s="92">
        <v>0</v>
      </c>
      <c r="AG563" s="92"/>
      <c r="AH563" s="92" t="s">
        <v>2</v>
      </c>
      <c r="AI563" s="92" t="s">
        <v>1785</v>
      </c>
      <c r="AJ563" s="92" t="s">
        <v>1787</v>
      </c>
      <c r="AK563" s="92" t="s">
        <v>1779</v>
      </c>
      <c r="AL563" s="92">
        <v>0</v>
      </c>
      <c r="AM563" s="92">
        <v>0</v>
      </c>
    </row>
    <row r="564" spans="2:39">
      <c r="B564" s="122">
        <v>2149</v>
      </c>
      <c r="C564" s="132">
        <v>29920</v>
      </c>
      <c r="D564" s="122" t="s">
        <v>433</v>
      </c>
      <c r="E564" s="92" t="s">
        <v>1626</v>
      </c>
      <c r="F564" t="s">
        <v>775</v>
      </c>
      <c r="I564" s="122">
        <v>1</v>
      </c>
      <c r="J564" s="92"/>
      <c r="K564" s="122">
        <v>0</v>
      </c>
      <c r="L564" s="92" t="s">
        <v>664</v>
      </c>
      <c r="M564" s="92"/>
      <c r="N564" s="92" t="s">
        <v>646</v>
      </c>
      <c r="O564" s="92" t="s">
        <v>1789</v>
      </c>
      <c r="P564" s="92"/>
      <c r="Q564" s="92"/>
      <c r="R564" s="92"/>
      <c r="S564" s="133">
        <v>38168</v>
      </c>
      <c r="T564" s="133">
        <v>38168</v>
      </c>
      <c r="U564" s="92"/>
      <c r="V564" s="122">
        <v>600</v>
      </c>
      <c r="W564" s="122">
        <v>14050</v>
      </c>
      <c r="X564" s="113">
        <v>992.62</v>
      </c>
      <c r="Y564" s="122">
        <v>14056</v>
      </c>
      <c r="Z564" s="113">
        <v>992.62</v>
      </c>
      <c r="AA564" s="113">
        <v>0</v>
      </c>
      <c r="AB564" s="113">
        <v>0</v>
      </c>
      <c r="AC564" s="122">
        <v>54260</v>
      </c>
      <c r="AD564" s="113">
        <v>0</v>
      </c>
      <c r="AE564" s="122" t="s">
        <v>433</v>
      </c>
      <c r="AF564" s="92">
        <v>0</v>
      </c>
      <c r="AG564" s="92"/>
      <c r="AH564" s="92" t="s">
        <v>2</v>
      </c>
      <c r="AI564" s="92" t="s">
        <v>1785</v>
      </c>
      <c r="AJ564" s="92" t="s">
        <v>1787</v>
      </c>
      <c r="AK564" s="92" t="s">
        <v>1779</v>
      </c>
      <c r="AL564" s="92">
        <v>0</v>
      </c>
      <c r="AM564" s="92">
        <v>0</v>
      </c>
    </row>
    <row r="565" spans="2:39">
      <c r="B565" s="122">
        <v>2149</v>
      </c>
      <c r="C565" s="132">
        <v>29919</v>
      </c>
      <c r="D565" s="122" t="s">
        <v>433</v>
      </c>
      <c r="E565" s="92" t="s">
        <v>1626</v>
      </c>
      <c r="F565" t="s">
        <v>774</v>
      </c>
      <c r="I565" s="122">
        <v>1</v>
      </c>
      <c r="J565" s="92"/>
      <c r="K565" s="122">
        <v>0</v>
      </c>
      <c r="L565" s="92" t="s">
        <v>664</v>
      </c>
      <c r="M565" s="92"/>
      <c r="N565" s="92" t="s">
        <v>646</v>
      </c>
      <c r="O565" s="92" t="s">
        <v>1789</v>
      </c>
      <c r="P565" s="92"/>
      <c r="Q565" s="92"/>
      <c r="R565" s="92"/>
      <c r="S565" s="133">
        <v>38230</v>
      </c>
      <c r="T565" s="133">
        <v>38230</v>
      </c>
      <c r="U565" s="92"/>
      <c r="V565" s="122">
        <v>600</v>
      </c>
      <c r="W565" s="122">
        <v>14050</v>
      </c>
      <c r="X565" s="113">
        <v>1323.17</v>
      </c>
      <c r="Y565" s="122">
        <v>14056</v>
      </c>
      <c r="Z565" s="113">
        <v>1323.17</v>
      </c>
      <c r="AA565" s="113">
        <v>0</v>
      </c>
      <c r="AB565" s="113">
        <v>0</v>
      </c>
      <c r="AC565" s="122">
        <v>54260</v>
      </c>
      <c r="AD565" s="113">
        <v>0</v>
      </c>
      <c r="AE565" s="122" t="s">
        <v>433</v>
      </c>
      <c r="AF565" s="92">
        <v>0</v>
      </c>
      <c r="AG565" s="92"/>
      <c r="AH565" s="92" t="s">
        <v>2</v>
      </c>
      <c r="AI565" s="92" t="s">
        <v>1785</v>
      </c>
      <c r="AJ565" s="92" t="s">
        <v>1787</v>
      </c>
      <c r="AK565" s="92" t="s">
        <v>1779</v>
      </c>
      <c r="AL565" s="92">
        <v>0</v>
      </c>
      <c r="AM565" s="92">
        <v>0</v>
      </c>
    </row>
    <row r="566" spans="2:39">
      <c r="B566" s="122">
        <v>2149</v>
      </c>
      <c r="C566" s="132">
        <v>29918</v>
      </c>
      <c r="D566" s="122" t="s">
        <v>433</v>
      </c>
      <c r="E566" s="92" t="s">
        <v>1626</v>
      </c>
      <c r="F566" t="s">
        <v>773</v>
      </c>
      <c r="I566" s="122">
        <v>1</v>
      </c>
      <c r="J566" s="92"/>
      <c r="K566" s="122">
        <v>0</v>
      </c>
      <c r="L566" s="92" t="s">
        <v>664</v>
      </c>
      <c r="M566" s="92"/>
      <c r="N566" s="92" t="s">
        <v>646</v>
      </c>
      <c r="O566" s="92" t="s">
        <v>1789</v>
      </c>
      <c r="P566" s="92"/>
      <c r="Q566" s="92"/>
      <c r="R566" s="92"/>
      <c r="S566" s="133">
        <v>38199</v>
      </c>
      <c r="T566" s="133">
        <v>38199</v>
      </c>
      <c r="U566" s="92"/>
      <c r="V566" s="122">
        <v>600</v>
      </c>
      <c r="W566" s="122">
        <v>14050</v>
      </c>
      <c r="X566" s="113">
        <v>1189.28</v>
      </c>
      <c r="Y566" s="122">
        <v>14056</v>
      </c>
      <c r="Z566" s="113">
        <v>1189.28</v>
      </c>
      <c r="AA566" s="113">
        <v>0</v>
      </c>
      <c r="AB566" s="113">
        <v>0</v>
      </c>
      <c r="AC566" s="122">
        <v>54260</v>
      </c>
      <c r="AD566" s="113">
        <v>0</v>
      </c>
      <c r="AE566" s="122" t="s">
        <v>433</v>
      </c>
      <c r="AF566" s="92">
        <v>0</v>
      </c>
      <c r="AG566" s="92"/>
      <c r="AH566" s="92" t="s">
        <v>2</v>
      </c>
      <c r="AI566" s="92" t="s">
        <v>1785</v>
      </c>
      <c r="AJ566" s="92" t="s">
        <v>1787</v>
      </c>
      <c r="AK566" s="92" t="s">
        <v>1779</v>
      </c>
      <c r="AL566" s="92">
        <v>0</v>
      </c>
      <c r="AM566" s="92">
        <v>0</v>
      </c>
    </row>
    <row r="567" spans="2:39">
      <c r="B567" s="122">
        <v>2149</v>
      </c>
      <c r="C567" s="132">
        <v>29630</v>
      </c>
      <c r="D567" s="122">
        <v>27371</v>
      </c>
      <c r="E567" s="92" t="s">
        <v>1626</v>
      </c>
      <c r="F567" t="s">
        <v>772</v>
      </c>
      <c r="I567" s="122">
        <v>1</v>
      </c>
      <c r="J567" s="92">
        <v>60300168</v>
      </c>
      <c r="K567" s="122">
        <v>2005</v>
      </c>
      <c r="L567" s="92"/>
      <c r="M567" s="92"/>
      <c r="N567" s="92" t="s">
        <v>1788</v>
      </c>
      <c r="O567" s="92" t="s">
        <v>1789</v>
      </c>
      <c r="P567" s="92" t="s">
        <v>683</v>
      </c>
      <c r="Q567" s="92"/>
      <c r="R567" s="92"/>
      <c r="S567" s="133">
        <v>38292</v>
      </c>
      <c r="T567" s="133">
        <v>38292</v>
      </c>
      <c r="U567" s="92">
        <v>42149002</v>
      </c>
      <c r="V567" s="122">
        <v>1000</v>
      </c>
      <c r="W567" s="122">
        <v>14040</v>
      </c>
      <c r="X567" s="113">
        <v>924.88</v>
      </c>
      <c r="Y567" s="122">
        <v>14046</v>
      </c>
      <c r="Z567" s="113">
        <v>924.88</v>
      </c>
      <c r="AA567" s="113">
        <v>0</v>
      </c>
      <c r="AB567" s="113">
        <v>0</v>
      </c>
      <c r="AC567" s="122">
        <v>51260</v>
      </c>
      <c r="AD567" s="113">
        <v>0</v>
      </c>
      <c r="AE567" s="122" t="s">
        <v>433</v>
      </c>
      <c r="AF567" s="92">
        <v>0</v>
      </c>
      <c r="AG567" s="92">
        <v>4</v>
      </c>
      <c r="AH567" s="92" t="s">
        <v>2</v>
      </c>
      <c r="AI567" s="92" t="s">
        <v>1785</v>
      </c>
      <c r="AJ567" s="92" t="s">
        <v>1787</v>
      </c>
      <c r="AK567" s="92" t="s">
        <v>1779</v>
      </c>
      <c r="AL567" s="92">
        <v>0</v>
      </c>
      <c r="AM567" s="92">
        <v>0</v>
      </c>
    </row>
    <row r="568" spans="2:39">
      <c r="B568" s="122">
        <v>2149</v>
      </c>
      <c r="C568" s="132">
        <v>28950</v>
      </c>
      <c r="D568" s="122" t="s">
        <v>433</v>
      </c>
      <c r="E568" s="92" t="s">
        <v>1626</v>
      </c>
      <c r="F568" t="s">
        <v>771</v>
      </c>
      <c r="I568" s="122">
        <v>2</v>
      </c>
      <c r="J568" s="92"/>
      <c r="K568" s="122">
        <v>0</v>
      </c>
      <c r="L568" s="92" t="s">
        <v>770</v>
      </c>
      <c r="M568" s="92"/>
      <c r="N568" s="92" t="s">
        <v>646</v>
      </c>
      <c r="O568" s="92" t="s">
        <v>1789</v>
      </c>
      <c r="P568" s="92"/>
      <c r="Q568" s="92" t="s">
        <v>1796</v>
      </c>
      <c r="R568" s="92" t="s">
        <v>1794</v>
      </c>
      <c r="S568" s="133">
        <v>38289</v>
      </c>
      <c r="T568" s="133">
        <v>38289</v>
      </c>
      <c r="U568" s="92">
        <v>42149004</v>
      </c>
      <c r="V568" s="122">
        <v>1200</v>
      </c>
      <c r="W568" s="122">
        <v>14050</v>
      </c>
      <c r="X568" s="113">
        <v>7123.34</v>
      </c>
      <c r="Y568" s="122">
        <v>14056</v>
      </c>
      <c r="Z568" s="113">
        <v>7123.34</v>
      </c>
      <c r="AA568" s="113">
        <v>0</v>
      </c>
      <c r="AB568" s="113">
        <v>0</v>
      </c>
      <c r="AC568" s="122">
        <v>54260</v>
      </c>
      <c r="AD568" s="113">
        <v>0</v>
      </c>
      <c r="AE568" s="122" t="s">
        <v>433</v>
      </c>
      <c r="AF568" s="92">
        <v>0</v>
      </c>
      <c r="AG568" s="92"/>
      <c r="AH568" s="92" t="s">
        <v>2</v>
      </c>
      <c r="AI568" s="92" t="s">
        <v>1785</v>
      </c>
      <c r="AJ568" s="92" t="s">
        <v>1787</v>
      </c>
      <c r="AK568" s="92" t="s">
        <v>1779</v>
      </c>
      <c r="AL568" s="92">
        <v>0</v>
      </c>
      <c r="AM568" s="92">
        <v>0</v>
      </c>
    </row>
    <row r="569" spans="2:39">
      <c r="B569" s="122">
        <v>2149</v>
      </c>
      <c r="C569" s="132">
        <v>28674</v>
      </c>
      <c r="D569" s="122">
        <v>27113</v>
      </c>
      <c r="E569" s="92" t="s">
        <v>1626</v>
      </c>
      <c r="F569" t="s">
        <v>1808</v>
      </c>
      <c r="I569" s="122">
        <v>501</v>
      </c>
      <c r="J569" s="92" t="s">
        <v>769</v>
      </c>
      <c r="K569" s="122">
        <v>1999</v>
      </c>
      <c r="L569" s="92" t="s">
        <v>768</v>
      </c>
      <c r="M569" s="92" t="s">
        <v>722</v>
      </c>
      <c r="N569" s="92" t="s">
        <v>1807</v>
      </c>
      <c r="O569" s="92" t="s">
        <v>1789</v>
      </c>
      <c r="P569" s="92" t="s">
        <v>622</v>
      </c>
      <c r="Q569" s="92"/>
      <c r="R569" s="92"/>
      <c r="S569" s="133">
        <v>36373</v>
      </c>
      <c r="T569" s="133">
        <v>36373</v>
      </c>
      <c r="U569" s="92" t="s">
        <v>767</v>
      </c>
      <c r="V569" s="122">
        <v>700</v>
      </c>
      <c r="W569" s="122">
        <v>14030</v>
      </c>
      <c r="X569" s="113">
        <v>5917.04</v>
      </c>
      <c r="Y569" s="122">
        <v>14036</v>
      </c>
      <c r="Z569" s="113">
        <v>5917.04</v>
      </c>
      <c r="AA569" s="113">
        <v>0</v>
      </c>
      <c r="AB569" s="113">
        <v>0</v>
      </c>
      <c r="AC569" s="122">
        <v>51260</v>
      </c>
      <c r="AD569" s="113">
        <v>0</v>
      </c>
      <c r="AE569" s="122" t="s">
        <v>433</v>
      </c>
      <c r="AF569" s="92">
        <v>0</v>
      </c>
      <c r="AG569" s="92" t="s">
        <v>766</v>
      </c>
      <c r="AH569" s="92" t="s">
        <v>2</v>
      </c>
      <c r="AI569" s="92" t="s">
        <v>1785</v>
      </c>
      <c r="AJ569" s="92" t="s">
        <v>1787</v>
      </c>
      <c r="AK569" s="92" t="s">
        <v>1779</v>
      </c>
      <c r="AL569" s="92">
        <v>0</v>
      </c>
      <c r="AM569" s="92">
        <v>0</v>
      </c>
    </row>
    <row r="570" spans="2:39">
      <c r="B570" s="122">
        <v>2149</v>
      </c>
      <c r="C570" s="132">
        <v>28121</v>
      </c>
      <c r="D570" s="122" t="s">
        <v>433</v>
      </c>
      <c r="E570" s="92" t="s">
        <v>1626</v>
      </c>
      <c r="F570" t="s">
        <v>765</v>
      </c>
      <c r="I570" s="122">
        <v>1</v>
      </c>
      <c r="J570" s="92"/>
      <c r="K570" s="122">
        <v>0</v>
      </c>
      <c r="L570" s="92" t="s">
        <v>764</v>
      </c>
      <c r="M570" s="92"/>
      <c r="N570" s="92" t="s">
        <v>1800</v>
      </c>
      <c r="O570" s="92" t="s">
        <v>1800</v>
      </c>
      <c r="P570" s="92"/>
      <c r="Q570" s="92"/>
      <c r="R570" s="92"/>
      <c r="S570" s="133">
        <v>38252</v>
      </c>
      <c r="T570" s="133">
        <v>38252</v>
      </c>
      <c r="U570" s="92">
        <v>42149006</v>
      </c>
      <c r="V570" s="122">
        <v>700</v>
      </c>
      <c r="W570" s="122">
        <v>14090</v>
      </c>
      <c r="X570" s="113">
        <v>1649.35</v>
      </c>
      <c r="Y570" s="122">
        <v>14096</v>
      </c>
      <c r="Z570" s="113">
        <v>1649.35</v>
      </c>
      <c r="AA570" s="113">
        <v>0</v>
      </c>
      <c r="AB570" s="113">
        <v>0</v>
      </c>
      <c r="AC570" s="122">
        <v>57260</v>
      </c>
      <c r="AD570" s="113">
        <v>0</v>
      </c>
      <c r="AE570" s="122" t="s">
        <v>433</v>
      </c>
      <c r="AF570" s="92">
        <v>0</v>
      </c>
      <c r="AG570" s="92"/>
      <c r="AH570" s="92" t="s">
        <v>2</v>
      </c>
      <c r="AI570" s="92" t="s">
        <v>1785</v>
      </c>
      <c r="AJ570" s="92" t="s">
        <v>1787</v>
      </c>
      <c r="AK570" s="92" t="e">
        <v>#N/A</v>
      </c>
      <c r="AL570" s="92" t="e">
        <v>#N/A</v>
      </c>
      <c r="AM570" s="92" t="e">
        <v>#N/A</v>
      </c>
    </row>
    <row r="571" spans="2:39">
      <c r="B571" s="122">
        <v>2149</v>
      </c>
      <c r="C571" s="132">
        <v>28120</v>
      </c>
      <c r="D571" s="122">
        <v>27371</v>
      </c>
      <c r="E571" s="92" t="s">
        <v>1626</v>
      </c>
      <c r="F571" t="s">
        <v>763</v>
      </c>
      <c r="I571" s="122">
        <v>1</v>
      </c>
      <c r="J571" s="92">
        <v>54374</v>
      </c>
      <c r="K571" s="122">
        <v>2005</v>
      </c>
      <c r="L571" s="92"/>
      <c r="M571" s="92"/>
      <c r="N571" s="92" t="s">
        <v>1788</v>
      </c>
      <c r="O571" s="92" t="s">
        <v>1789</v>
      </c>
      <c r="P571" s="92" t="s">
        <v>683</v>
      </c>
      <c r="Q571" s="92"/>
      <c r="R571" s="92"/>
      <c r="S571" s="133">
        <v>38279</v>
      </c>
      <c r="T571" s="133">
        <v>38279</v>
      </c>
      <c r="U571" s="92">
        <v>42149002</v>
      </c>
      <c r="V571" s="122">
        <v>1000</v>
      </c>
      <c r="W571" s="122">
        <v>14040</v>
      </c>
      <c r="X571" s="113">
        <v>4519.1899999999996</v>
      </c>
      <c r="Y571" s="122">
        <v>14046</v>
      </c>
      <c r="Z571" s="113">
        <v>4519.1899999999996</v>
      </c>
      <c r="AA571" s="113">
        <v>0</v>
      </c>
      <c r="AB571" s="113">
        <v>0</v>
      </c>
      <c r="AC571" s="122">
        <v>51260</v>
      </c>
      <c r="AD571" s="113">
        <v>0</v>
      </c>
      <c r="AE571" s="122" t="s">
        <v>433</v>
      </c>
      <c r="AF571" s="92">
        <v>0</v>
      </c>
      <c r="AG571" s="92"/>
      <c r="AH571" s="92" t="s">
        <v>2</v>
      </c>
      <c r="AI571" s="92" t="s">
        <v>1785</v>
      </c>
      <c r="AJ571" s="92" t="s">
        <v>1787</v>
      </c>
      <c r="AK571" s="92" t="s">
        <v>1779</v>
      </c>
      <c r="AL571" s="92">
        <v>0</v>
      </c>
      <c r="AM571" s="92">
        <v>0</v>
      </c>
    </row>
    <row r="572" spans="2:39">
      <c r="B572" s="122">
        <v>2149</v>
      </c>
      <c r="C572" s="132">
        <v>28116</v>
      </c>
      <c r="D572" s="122">
        <v>27371</v>
      </c>
      <c r="E572" s="92" t="s">
        <v>1626</v>
      </c>
      <c r="F572" t="s">
        <v>1810</v>
      </c>
      <c r="I572" s="122">
        <v>1</v>
      </c>
      <c r="J572" s="92">
        <v>54374</v>
      </c>
      <c r="K572" s="122">
        <v>2005</v>
      </c>
      <c r="L572" s="92"/>
      <c r="M572" s="92"/>
      <c r="N572" s="92" t="s">
        <v>1788</v>
      </c>
      <c r="O572" s="92" t="s">
        <v>1789</v>
      </c>
      <c r="P572" s="92" t="s">
        <v>683</v>
      </c>
      <c r="Q572" s="92"/>
      <c r="R572" s="92"/>
      <c r="S572" s="133">
        <v>38279</v>
      </c>
      <c r="T572" s="133">
        <v>38279</v>
      </c>
      <c r="U572" s="92">
        <v>42149002</v>
      </c>
      <c r="V572" s="122">
        <v>1000</v>
      </c>
      <c r="W572" s="122">
        <v>14040</v>
      </c>
      <c r="X572" s="113">
        <v>302.44</v>
      </c>
      <c r="Y572" s="122">
        <v>14046</v>
      </c>
      <c r="Z572" s="113">
        <v>302.44</v>
      </c>
      <c r="AA572" s="113">
        <v>0</v>
      </c>
      <c r="AB572" s="113">
        <v>0</v>
      </c>
      <c r="AC572" s="122">
        <v>51260</v>
      </c>
      <c r="AD572" s="113">
        <v>0</v>
      </c>
      <c r="AE572" s="122" t="s">
        <v>433</v>
      </c>
      <c r="AF572" s="92">
        <v>0</v>
      </c>
      <c r="AG572" s="92">
        <v>4</v>
      </c>
      <c r="AH572" s="92" t="s">
        <v>2</v>
      </c>
      <c r="AI572" s="92" t="s">
        <v>1785</v>
      </c>
      <c r="AJ572" s="92" t="s">
        <v>1787</v>
      </c>
      <c r="AK572" s="92" t="s">
        <v>1779</v>
      </c>
      <c r="AL572" s="92">
        <v>0</v>
      </c>
      <c r="AM572" s="92">
        <v>0</v>
      </c>
    </row>
    <row r="573" spans="2:39">
      <c r="B573" s="122">
        <v>2149</v>
      </c>
      <c r="C573" s="132">
        <v>27749</v>
      </c>
      <c r="D573" s="122" t="s">
        <v>433</v>
      </c>
      <c r="E573" s="92" t="s">
        <v>1626</v>
      </c>
      <c r="F573" t="s">
        <v>762</v>
      </c>
      <c r="I573" s="122">
        <v>1</v>
      </c>
      <c r="J573" s="92"/>
      <c r="K573" s="122">
        <v>0</v>
      </c>
      <c r="L573" s="92" t="s">
        <v>741</v>
      </c>
      <c r="M573" s="92"/>
      <c r="N573" s="92" t="s">
        <v>1800</v>
      </c>
      <c r="O573" s="92" t="s">
        <v>1800</v>
      </c>
      <c r="P573" s="92"/>
      <c r="Q573" s="92"/>
      <c r="R573" s="92"/>
      <c r="S573" s="133">
        <v>38202</v>
      </c>
      <c r="T573" s="133">
        <v>38202</v>
      </c>
      <c r="U573" s="92">
        <v>42149006</v>
      </c>
      <c r="V573" s="122">
        <v>1000</v>
      </c>
      <c r="W573" s="122">
        <v>14090</v>
      </c>
      <c r="X573" s="113">
        <v>909.29</v>
      </c>
      <c r="Y573" s="122">
        <v>14096</v>
      </c>
      <c r="Z573" s="113">
        <v>909.29</v>
      </c>
      <c r="AA573" s="113">
        <v>0</v>
      </c>
      <c r="AB573" s="113">
        <v>0</v>
      </c>
      <c r="AC573" s="122">
        <v>57260</v>
      </c>
      <c r="AD573" s="113">
        <v>0</v>
      </c>
      <c r="AE573" s="122" t="s">
        <v>433</v>
      </c>
      <c r="AF573" s="92">
        <v>0</v>
      </c>
      <c r="AG573" s="92"/>
      <c r="AH573" s="92" t="s">
        <v>2</v>
      </c>
      <c r="AI573" s="92" t="s">
        <v>1785</v>
      </c>
      <c r="AJ573" s="92" t="s">
        <v>1787</v>
      </c>
      <c r="AK573" s="92" t="e">
        <v>#N/A</v>
      </c>
      <c r="AL573" s="92" t="e">
        <v>#N/A</v>
      </c>
      <c r="AM573" s="92" t="e">
        <v>#N/A</v>
      </c>
    </row>
    <row r="574" spans="2:39">
      <c r="B574" s="122">
        <v>2149</v>
      </c>
      <c r="C574" s="132">
        <v>27625</v>
      </c>
      <c r="D574" s="122">
        <v>27371</v>
      </c>
      <c r="E574" s="92" t="s">
        <v>1626</v>
      </c>
      <c r="F574" t="s">
        <v>761</v>
      </c>
      <c r="I574" s="122">
        <v>1</v>
      </c>
      <c r="J574" s="92">
        <v>54374</v>
      </c>
      <c r="K574" s="122">
        <v>2005</v>
      </c>
      <c r="L574" s="92"/>
      <c r="M574" s="92"/>
      <c r="N574" s="92" t="s">
        <v>1788</v>
      </c>
      <c r="O574" s="92" t="s">
        <v>1789</v>
      </c>
      <c r="P574" s="92" t="s">
        <v>683</v>
      </c>
      <c r="Q574" s="92"/>
      <c r="R574" s="92"/>
      <c r="S574" s="133">
        <v>38234</v>
      </c>
      <c r="T574" s="133">
        <v>38234</v>
      </c>
      <c r="U574" s="92">
        <v>42149002</v>
      </c>
      <c r="V574" s="122">
        <v>1000</v>
      </c>
      <c r="W574" s="122">
        <v>14040</v>
      </c>
      <c r="X574" s="113">
        <v>504.82</v>
      </c>
      <c r="Y574" s="122">
        <v>14046</v>
      </c>
      <c r="Z574" s="113">
        <v>504.82</v>
      </c>
      <c r="AA574" s="113">
        <v>0</v>
      </c>
      <c r="AB574" s="113">
        <v>0</v>
      </c>
      <c r="AC574" s="122">
        <v>51260</v>
      </c>
      <c r="AD574" s="113">
        <v>0</v>
      </c>
      <c r="AE574" s="122" t="s">
        <v>433</v>
      </c>
      <c r="AF574" s="92">
        <v>0</v>
      </c>
      <c r="AG574" s="92">
        <v>4</v>
      </c>
      <c r="AH574" s="92" t="s">
        <v>2</v>
      </c>
      <c r="AI574" s="92" t="s">
        <v>1785</v>
      </c>
      <c r="AJ574" s="92" t="s">
        <v>1787</v>
      </c>
      <c r="AK574" s="92" t="s">
        <v>1779</v>
      </c>
      <c r="AL574" s="92">
        <v>0</v>
      </c>
      <c r="AM574" s="92">
        <v>0</v>
      </c>
    </row>
    <row r="575" spans="2:39">
      <c r="B575" s="122">
        <v>2149</v>
      </c>
      <c r="C575" s="132">
        <v>27371</v>
      </c>
      <c r="D575" s="122" t="s">
        <v>433</v>
      </c>
      <c r="E575" s="92" t="s">
        <v>1626</v>
      </c>
      <c r="F575" t="s">
        <v>760</v>
      </c>
      <c r="I575" s="122">
        <v>1</v>
      </c>
      <c r="J575" s="92" t="s">
        <v>589</v>
      </c>
      <c r="K575" s="122">
        <v>2005</v>
      </c>
      <c r="L575" s="92" t="s">
        <v>434</v>
      </c>
      <c r="M575" s="92" t="s">
        <v>759</v>
      </c>
      <c r="N575" s="92" t="s">
        <v>1788</v>
      </c>
      <c r="O575" s="92" t="s">
        <v>1789</v>
      </c>
      <c r="P575" s="92" t="s">
        <v>758</v>
      </c>
      <c r="Q575" s="92"/>
      <c r="R575" s="92"/>
      <c r="S575" s="133">
        <v>38224</v>
      </c>
      <c r="T575" s="133">
        <v>38224</v>
      </c>
      <c r="U575" s="92" t="s">
        <v>755</v>
      </c>
      <c r="V575" s="122">
        <v>1000</v>
      </c>
      <c r="W575" s="122">
        <v>14040</v>
      </c>
      <c r="X575" s="113">
        <v>67645.33</v>
      </c>
      <c r="Y575" s="122">
        <v>14046</v>
      </c>
      <c r="Z575" s="113">
        <v>67645.33</v>
      </c>
      <c r="AA575" s="113">
        <v>0</v>
      </c>
      <c r="AB575" s="113">
        <v>0</v>
      </c>
      <c r="AC575" s="122">
        <v>51260</v>
      </c>
      <c r="AD575" s="113">
        <v>0</v>
      </c>
      <c r="AE575" s="122" t="s">
        <v>433</v>
      </c>
      <c r="AF575" s="92">
        <v>0</v>
      </c>
      <c r="AG575" s="92">
        <v>4</v>
      </c>
      <c r="AH575" s="92" t="s">
        <v>2</v>
      </c>
      <c r="AI575" s="92" t="s">
        <v>1785</v>
      </c>
      <c r="AJ575" s="92" t="s">
        <v>1787</v>
      </c>
      <c r="AK575" s="92" t="s">
        <v>1779</v>
      </c>
      <c r="AL575" s="92">
        <v>0</v>
      </c>
      <c r="AM575" s="92">
        <v>0</v>
      </c>
    </row>
    <row r="576" spans="2:39">
      <c r="B576" s="122">
        <v>2149</v>
      </c>
      <c r="C576" s="132">
        <v>27370</v>
      </c>
      <c r="D576" s="122">
        <v>27371</v>
      </c>
      <c r="E576" s="92" t="s">
        <v>1626</v>
      </c>
      <c r="F576" t="s">
        <v>757</v>
      </c>
      <c r="I576" s="122">
        <v>1</v>
      </c>
      <c r="J576" s="92" t="s">
        <v>756</v>
      </c>
      <c r="K576" s="122">
        <v>2005</v>
      </c>
      <c r="L576" s="92"/>
      <c r="M576" s="92"/>
      <c r="N576" s="92" t="s">
        <v>1788</v>
      </c>
      <c r="O576" s="92" t="s">
        <v>1789</v>
      </c>
      <c r="P576" s="92" t="s">
        <v>1809</v>
      </c>
      <c r="Q576" s="92"/>
      <c r="R576" s="92"/>
      <c r="S576" s="133">
        <v>38259</v>
      </c>
      <c r="T576" s="133">
        <v>38259</v>
      </c>
      <c r="U576" s="92" t="s">
        <v>755</v>
      </c>
      <c r="V576" s="122">
        <v>1000</v>
      </c>
      <c r="W576" s="122">
        <v>14040</v>
      </c>
      <c r="X576" s="113">
        <v>39052.99</v>
      </c>
      <c r="Y576" s="122">
        <v>14046</v>
      </c>
      <c r="Z576" s="113">
        <v>39052.99</v>
      </c>
      <c r="AA576" s="113">
        <v>0</v>
      </c>
      <c r="AB576" s="113">
        <v>0</v>
      </c>
      <c r="AC576" s="122">
        <v>51260</v>
      </c>
      <c r="AD576" s="113">
        <v>0</v>
      </c>
      <c r="AE576" s="122" t="s">
        <v>433</v>
      </c>
      <c r="AF576" s="92">
        <v>0</v>
      </c>
      <c r="AG576" s="92">
        <v>4</v>
      </c>
      <c r="AH576" s="92" t="s">
        <v>2</v>
      </c>
      <c r="AI576" s="92" t="s">
        <v>1785</v>
      </c>
      <c r="AJ576" s="92" t="s">
        <v>1787</v>
      </c>
      <c r="AK576" s="92" t="s">
        <v>1779</v>
      </c>
      <c r="AL576" s="92">
        <v>0</v>
      </c>
      <c r="AM576" s="92">
        <v>0</v>
      </c>
    </row>
    <row r="577" spans="2:39">
      <c r="B577" s="122">
        <v>2149</v>
      </c>
      <c r="C577" s="132">
        <v>27113</v>
      </c>
      <c r="D577" s="122" t="s">
        <v>433</v>
      </c>
      <c r="E577" s="92" t="s">
        <v>1626</v>
      </c>
      <c r="F577" t="s">
        <v>754</v>
      </c>
      <c r="I577" s="122">
        <v>501</v>
      </c>
      <c r="J577" s="92" t="s">
        <v>753</v>
      </c>
      <c r="K577" s="122">
        <v>1992</v>
      </c>
      <c r="L577" s="92" t="s">
        <v>752</v>
      </c>
      <c r="M577" s="92" t="s">
        <v>752</v>
      </c>
      <c r="N577" s="92" t="s">
        <v>1807</v>
      </c>
      <c r="O577" s="92" t="s">
        <v>1789</v>
      </c>
      <c r="P577" s="92" t="s">
        <v>622</v>
      </c>
      <c r="Q577" s="92"/>
      <c r="R577" s="92"/>
      <c r="S577" s="133">
        <v>36220</v>
      </c>
      <c r="T577" s="133">
        <v>36220</v>
      </c>
      <c r="U577" s="92"/>
      <c r="V577" s="122">
        <v>1000</v>
      </c>
      <c r="W577" s="122">
        <v>14030</v>
      </c>
      <c r="X577" s="113">
        <v>15200</v>
      </c>
      <c r="Y577" s="122">
        <v>14036</v>
      </c>
      <c r="Z577" s="113">
        <v>15200</v>
      </c>
      <c r="AA577" s="113">
        <v>0</v>
      </c>
      <c r="AB577" s="113">
        <v>0</v>
      </c>
      <c r="AC577" s="122">
        <v>51260</v>
      </c>
      <c r="AD577" s="113">
        <v>0</v>
      </c>
      <c r="AE577" s="122" t="s">
        <v>663</v>
      </c>
      <c r="AF577" s="92" t="s">
        <v>751</v>
      </c>
      <c r="AG577" s="92" t="s">
        <v>750</v>
      </c>
      <c r="AH577" s="92" t="s">
        <v>2</v>
      </c>
      <c r="AI577" s="92" t="s">
        <v>1785</v>
      </c>
      <c r="AJ577" s="92" t="s">
        <v>1787</v>
      </c>
      <c r="AK577" s="92" t="s">
        <v>1779</v>
      </c>
      <c r="AL577" s="92">
        <v>0</v>
      </c>
      <c r="AM577" s="92">
        <v>0</v>
      </c>
    </row>
    <row r="578" spans="2:39">
      <c r="B578" s="122">
        <v>2149</v>
      </c>
      <c r="C578" s="132">
        <v>27085</v>
      </c>
      <c r="D578" s="122">
        <v>27113</v>
      </c>
      <c r="E578" s="92" t="s">
        <v>1626</v>
      </c>
      <c r="F578" t="s">
        <v>749</v>
      </c>
      <c r="I578" s="122">
        <v>500</v>
      </c>
      <c r="J578" s="92"/>
      <c r="K578" s="122">
        <v>0</v>
      </c>
      <c r="L578" s="92" t="s">
        <v>748</v>
      </c>
      <c r="M578" s="92"/>
      <c r="N578" s="92" t="s">
        <v>1807</v>
      </c>
      <c r="O578" s="92" t="s">
        <v>1789</v>
      </c>
      <c r="P578" s="92" t="s">
        <v>683</v>
      </c>
      <c r="Q578" s="92"/>
      <c r="R578" s="92"/>
      <c r="S578" s="133">
        <v>37678</v>
      </c>
      <c r="T578" s="133">
        <v>37678</v>
      </c>
      <c r="U578" s="92" t="s">
        <v>747</v>
      </c>
      <c r="V578" s="122">
        <v>300</v>
      </c>
      <c r="W578" s="122">
        <v>14030</v>
      </c>
      <c r="X578" s="113">
        <v>9732.39</v>
      </c>
      <c r="Y578" s="122">
        <v>14036</v>
      </c>
      <c r="Z578" s="113">
        <v>9732.39</v>
      </c>
      <c r="AA578" s="113">
        <v>0</v>
      </c>
      <c r="AB578" s="113">
        <v>0</v>
      </c>
      <c r="AC578" s="122">
        <v>51260</v>
      </c>
      <c r="AD578" s="113">
        <v>0</v>
      </c>
      <c r="AE578" s="122" t="s">
        <v>433</v>
      </c>
      <c r="AF578" s="92"/>
      <c r="AG578" s="92"/>
      <c r="AH578" s="92" t="s">
        <v>2</v>
      </c>
      <c r="AI578" s="92" t="s">
        <v>1785</v>
      </c>
      <c r="AJ578" s="92" t="s">
        <v>1787</v>
      </c>
      <c r="AK578" s="92" t="s">
        <v>1779</v>
      </c>
      <c r="AL578" s="92">
        <v>0</v>
      </c>
      <c r="AM578" s="92">
        <v>0</v>
      </c>
    </row>
    <row r="579" spans="2:39">
      <c r="B579" s="122">
        <v>2149</v>
      </c>
      <c r="C579" s="132">
        <v>26948</v>
      </c>
      <c r="D579" s="122" t="s">
        <v>433</v>
      </c>
      <c r="E579" s="92" t="s">
        <v>1626</v>
      </c>
      <c r="F579" t="s">
        <v>746</v>
      </c>
      <c r="I579" s="122">
        <v>1</v>
      </c>
      <c r="J579" s="92" t="s">
        <v>745</v>
      </c>
      <c r="K579" s="122">
        <v>0</v>
      </c>
      <c r="L579" s="92" t="s">
        <v>711</v>
      </c>
      <c r="M579" s="92"/>
      <c r="N579" s="92" t="s">
        <v>1798</v>
      </c>
      <c r="O579" s="92" t="s">
        <v>1789</v>
      </c>
      <c r="P579" s="92"/>
      <c r="Q579" s="92"/>
      <c r="R579" s="92"/>
      <c r="S579" s="133">
        <v>38181</v>
      </c>
      <c r="T579" s="133">
        <v>38181</v>
      </c>
      <c r="U579" s="92"/>
      <c r="V579" s="122">
        <v>300</v>
      </c>
      <c r="W579" s="122">
        <v>14110</v>
      </c>
      <c r="X579" s="113">
        <v>2050</v>
      </c>
      <c r="Y579" s="122">
        <v>14116</v>
      </c>
      <c r="Z579" s="113">
        <v>2050</v>
      </c>
      <c r="AA579" s="113">
        <v>0</v>
      </c>
      <c r="AB579" s="113">
        <v>0</v>
      </c>
      <c r="AC579" s="122">
        <v>70260</v>
      </c>
      <c r="AD579" s="113">
        <v>0</v>
      </c>
      <c r="AE579" s="122" t="s">
        <v>433</v>
      </c>
      <c r="AF579" s="92">
        <v>0</v>
      </c>
      <c r="AG579" s="92"/>
      <c r="AH579" s="92" t="s">
        <v>2</v>
      </c>
      <c r="AI579" s="92" t="s">
        <v>1785</v>
      </c>
      <c r="AJ579" s="92" t="s">
        <v>1787</v>
      </c>
      <c r="AK579" s="92" t="e">
        <v>#N/A</v>
      </c>
      <c r="AL579" s="92" t="e">
        <v>#N/A</v>
      </c>
      <c r="AM579" s="92" t="e">
        <v>#N/A</v>
      </c>
    </row>
    <row r="580" spans="2:39">
      <c r="B580" s="122">
        <v>2149</v>
      </c>
      <c r="C580" s="132">
        <v>26929</v>
      </c>
      <c r="D580" s="122" t="s">
        <v>433</v>
      </c>
      <c r="E580" s="92" t="s">
        <v>1626</v>
      </c>
      <c r="F580" t="s">
        <v>744</v>
      </c>
      <c r="I580" s="122">
        <v>1</v>
      </c>
      <c r="J580" s="92"/>
      <c r="K580" s="122">
        <v>0</v>
      </c>
      <c r="L580" s="92" t="s">
        <v>742</v>
      </c>
      <c r="M580" s="92"/>
      <c r="N580" s="92" t="s">
        <v>1800</v>
      </c>
      <c r="O580" s="92" t="s">
        <v>1800</v>
      </c>
      <c r="P580" s="92"/>
      <c r="Q580" s="92"/>
      <c r="R580" s="92"/>
      <c r="S580" s="133">
        <v>38200</v>
      </c>
      <c r="T580" s="133">
        <v>38200</v>
      </c>
      <c r="U580" s="92">
        <v>42149006</v>
      </c>
      <c r="V580" s="122">
        <v>1000</v>
      </c>
      <c r="W580" s="122">
        <v>14090</v>
      </c>
      <c r="X580" s="113">
        <v>950.34</v>
      </c>
      <c r="Y580" s="122">
        <v>14096</v>
      </c>
      <c r="Z580" s="113">
        <v>950.34</v>
      </c>
      <c r="AA580" s="113">
        <v>0</v>
      </c>
      <c r="AB580" s="113">
        <v>0</v>
      </c>
      <c r="AC580" s="122">
        <v>57260</v>
      </c>
      <c r="AD580" s="113">
        <v>0</v>
      </c>
      <c r="AE580" s="122" t="s">
        <v>433</v>
      </c>
      <c r="AF580" s="92">
        <v>0</v>
      </c>
      <c r="AG580" s="92"/>
      <c r="AH580" s="92" t="s">
        <v>2</v>
      </c>
      <c r="AI580" s="92" t="s">
        <v>1785</v>
      </c>
      <c r="AJ580" s="92" t="s">
        <v>1787</v>
      </c>
      <c r="AK580" s="92" t="e">
        <v>#N/A</v>
      </c>
      <c r="AL580" s="92" t="e">
        <v>#N/A</v>
      </c>
      <c r="AM580" s="92" t="e">
        <v>#N/A</v>
      </c>
    </row>
    <row r="581" spans="2:39">
      <c r="B581" s="122">
        <v>2149</v>
      </c>
      <c r="C581" s="132">
        <v>26928</v>
      </c>
      <c r="D581" s="122" t="s">
        <v>433</v>
      </c>
      <c r="E581" s="92" t="s">
        <v>1626</v>
      </c>
      <c r="F581" t="s">
        <v>743</v>
      </c>
      <c r="I581" s="122">
        <v>1</v>
      </c>
      <c r="J581" s="92"/>
      <c r="K581" s="122">
        <v>0</v>
      </c>
      <c r="L581" s="92" t="s">
        <v>742</v>
      </c>
      <c r="M581" s="92"/>
      <c r="N581" s="92" t="s">
        <v>1800</v>
      </c>
      <c r="O581" s="92" t="s">
        <v>1800</v>
      </c>
      <c r="P581" s="92"/>
      <c r="Q581" s="92"/>
      <c r="R581" s="92"/>
      <c r="S581" s="133">
        <v>38203</v>
      </c>
      <c r="T581" s="133">
        <v>38203</v>
      </c>
      <c r="U581" s="92">
        <v>42149006</v>
      </c>
      <c r="V581" s="122">
        <v>1000</v>
      </c>
      <c r="W581" s="122">
        <v>14090</v>
      </c>
      <c r="X581" s="113">
        <v>4158.72</v>
      </c>
      <c r="Y581" s="122">
        <v>14096</v>
      </c>
      <c r="Z581" s="113">
        <v>4158.72</v>
      </c>
      <c r="AA581" s="113">
        <v>0</v>
      </c>
      <c r="AB581" s="113">
        <v>0</v>
      </c>
      <c r="AC581" s="122">
        <v>57260</v>
      </c>
      <c r="AD581" s="113">
        <v>0</v>
      </c>
      <c r="AE581" s="122" t="s">
        <v>433</v>
      </c>
      <c r="AF581" s="92">
        <v>0</v>
      </c>
      <c r="AG581" s="92"/>
      <c r="AH581" s="92" t="s">
        <v>2</v>
      </c>
      <c r="AI581" s="92" t="s">
        <v>1785</v>
      </c>
      <c r="AJ581" s="92" t="s">
        <v>1787</v>
      </c>
      <c r="AK581" s="92" t="e">
        <v>#N/A</v>
      </c>
      <c r="AL581" s="92" t="e">
        <v>#N/A</v>
      </c>
      <c r="AM581" s="92" t="e">
        <v>#N/A</v>
      </c>
    </row>
    <row r="582" spans="2:39">
      <c r="B582" s="122">
        <v>2149</v>
      </c>
      <c r="C582" s="132">
        <v>26927</v>
      </c>
      <c r="D582" s="122" t="s">
        <v>433</v>
      </c>
      <c r="E582" s="92" t="s">
        <v>1626</v>
      </c>
      <c r="F582" t="s">
        <v>1806</v>
      </c>
      <c r="I582" s="122">
        <v>1</v>
      </c>
      <c r="J582" s="92"/>
      <c r="K582" s="122">
        <v>0</v>
      </c>
      <c r="L582" s="92" t="s">
        <v>741</v>
      </c>
      <c r="M582" s="92"/>
      <c r="N582" s="92" t="s">
        <v>1800</v>
      </c>
      <c r="O582" s="92" t="s">
        <v>1800</v>
      </c>
      <c r="P582" s="92"/>
      <c r="Q582" s="92"/>
      <c r="R582" s="92"/>
      <c r="S582" s="133">
        <v>38202</v>
      </c>
      <c r="T582" s="133">
        <v>38202</v>
      </c>
      <c r="U582" s="92">
        <v>42149006</v>
      </c>
      <c r="V582" s="122">
        <v>1000</v>
      </c>
      <c r="W582" s="122">
        <v>14090</v>
      </c>
      <c r="X582" s="113">
        <v>473.27</v>
      </c>
      <c r="Y582" s="122">
        <v>14096</v>
      </c>
      <c r="Z582" s="113">
        <v>473.27</v>
      </c>
      <c r="AA582" s="113">
        <v>0</v>
      </c>
      <c r="AB582" s="113">
        <v>0</v>
      </c>
      <c r="AC582" s="122">
        <v>57260</v>
      </c>
      <c r="AD582" s="113">
        <v>0</v>
      </c>
      <c r="AE582" s="122" t="s">
        <v>433</v>
      </c>
      <c r="AF582" s="92">
        <v>0</v>
      </c>
      <c r="AG582" s="92"/>
      <c r="AH582" s="92" t="s">
        <v>2</v>
      </c>
      <c r="AI582" s="92" t="s">
        <v>1785</v>
      </c>
      <c r="AJ582" s="92" t="s">
        <v>1787</v>
      </c>
      <c r="AK582" s="92" t="e">
        <v>#N/A</v>
      </c>
      <c r="AL582" s="92" t="e">
        <v>#N/A</v>
      </c>
      <c r="AM582" s="92" t="e">
        <v>#N/A</v>
      </c>
    </row>
    <row r="583" spans="2:39">
      <c r="B583" s="122">
        <v>2149</v>
      </c>
      <c r="C583" s="132">
        <v>26926</v>
      </c>
      <c r="D583" s="122" t="s">
        <v>433</v>
      </c>
      <c r="E583" s="92" t="s">
        <v>1626</v>
      </c>
      <c r="F583" t="s">
        <v>740</v>
      </c>
      <c r="I583" s="122">
        <v>1</v>
      </c>
      <c r="J583" s="92"/>
      <c r="K583" s="122">
        <v>0</v>
      </c>
      <c r="L583" s="92" t="s">
        <v>739</v>
      </c>
      <c r="M583" s="92"/>
      <c r="N583" s="92" t="s">
        <v>1800</v>
      </c>
      <c r="O583" s="92" t="s">
        <v>1800</v>
      </c>
      <c r="P583" s="92"/>
      <c r="Q583" s="92"/>
      <c r="R583" s="92"/>
      <c r="S583" s="133">
        <v>38198</v>
      </c>
      <c r="T583" s="133">
        <v>38198</v>
      </c>
      <c r="U583" s="92">
        <v>42149006</v>
      </c>
      <c r="V583" s="122">
        <v>1000</v>
      </c>
      <c r="W583" s="122">
        <v>14090</v>
      </c>
      <c r="X583" s="113">
        <v>466.12</v>
      </c>
      <c r="Y583" s="122">
        <v>14096</v>
      </c>
      <c r="Z583" s="113">
        <v>466.12</v>
      </c>
      <c r="AA583" s="113">
        <v>0</v>
      </c>
      <c r="AB583" s="113">
        <v>0</v>
      </c>
      <c r="AC583" s="122">
        <v>57260</v>
      </c>
      <c r="AD583" s="113">
        <v>0</v>
      </c>
      <c r="AE583" s="122" t="s">
        <v>433</v>
      </c>
      <c r="AF583" s="92">
        <v>0</v>
      </c>
      <c r="AG583" s="92"/>
      <c r="AH583" s="92" t="s">
        <v>2</v>
      </c>
      <c r="AI583" s="92" t="s">
        <v>1785</v>
      </c>
      <c r="AJ583" s="92" t="s">
        <v>1787</v>
      </c>
      <c r="AK583" s="92" t="e">
        <v>#N/A</v>
      </c>
      <c r="AL583" s="92" t="e">
        <v>#N/A</v>
      </c>
      <c r="AM583" s="92" t="e">
        <v>#N/A</v>
      </c>
    </row>
    <row r="584" spans="2:39">
      <c r="B584" s="122">
        <v>2149</v>
      </c>
      <c r="C584" s="132">
        <v>26925</v>
      </c>
      <c r="D584" s="122" t="s">
        <v>433</v>
      </c>
      <c r="E584" s="92" t="s">
        <v>1626</v>
      </c>
      <c r="F584" t="s">
        <v>1805</v>
      </c>
      <c r="I584" s="122">
        <v>1</v>
      </c>
      <c r="J584" s="92"/>
      <c r="K584" s="122">
        <v>0</v>
      </c>
      <c r="L584" s="92" t="s">
        <v>739</v>
      </c>
      <c r="M584" s="92"/>
      <c r="N584" s="92" t="s">
        <v>1800</v>
      </c>
      <c r="O584" s="92" t="s">
        <v>1800</v>
      </c>
      <c r="P584" s="92"/>
      <c r="Q584" s="92"/>
      <c r="R584" s="92"/>
      <c r="S584" s="133">
        <v>38198</v>
      </c>
      <c r="T584" s="133">
        <v>38198</v>
      </c>
      <c r="U584" s="92">
        <v>42149006</v>
      </c>
      <c r="V584" s="122">
        <v>1000</v>
      </c>
      <c r="W584" s="122">
        <v>14090</v>
      </c>
      <c r="X584" s="113">
        <v>52.42</v>
      </c>
      <c r="Y584" s="122">
        <v>14096</v>
      </c>
      <c r="Z584" s="113">
        <v>52.42</v>
      </c>
      <c r="AA584" s="113">
        <v>0</v>
      </c>
      <c r="AB584" s="113">
        <v>0</v>
      </c>
      <c r="AC584" s="122">
        <v>57260</v>
      </c>
      <c r="AD584" s="113">
        <v>0</v>
      </c>
      <c r="AE584" s="122" t="s">
        <v>433</v>
      </c>
      <c r="AF584" s="92">
        <v>0</v>
      </c>
      <c r="AG584" s="92"/>
      <c r="AH584" s="92" t="s">
        <v>2</v>
      </c>
      <c r="AI584" s="92" t="s">
        <v>1785</v>
      </c>
      <c r="AJ584" s="92" t="s">
        <v>1787</v>
      </c>
      <c r="AK584" s="92" t="e">
        <v>#N/A</v>
      </c>
      <c r="AL584" s="92" t="e">
        <v>#N/A</v>
      </c>
      <c r="AM584" s="92" t="e">
        <v>#N/A</v>
      </c>
    </row>
    <row r="585" spans="2:39">
      <c r="B585" s="122">
        <v>2149</v>
      </c>
      <c r="C585" s="132">
        <v>26314</v>
      </c>
      <c r="D585" s="122" t="s">
        <v>433</v>
      </c>
      <c r="E585" s="92" t="s">
        <v>1626</v>
      </c>
      <c r="F585" t="s">
        <v>738</v>
      </c>
      <c r="I585" s="122">
        <v>18</v>
      </c>
      <c r="J585" s="92"/>
      <c r="K585" s="122">
        <v>0</v>
      </c>
      <c r="L585" s="92" t="s">
        <v>737</v>
      </c>
      <c r="M585" s="92"/>
      <c r="N585" s="92" t="s">
        <v>646</v>
      </c>
      <c r="O585" s="92" t="s">
        <v>1789</v>
      </c>
      <c r="P585" s="92"/>
      <c r="Q585" s="92" t="s">
        <v>1792</v>
      </c>
      <c r="R585" s="92" t="s">
        <v>1791</v>
      </c>
      <c r="S585" s="133">
        <v>38168</v>
      </c>
      <c r="T585" s="133">
        <v>38168</v>
      </c>
      <c r="U585" s="92" t="s">
        <v>736</v>
      </c>
      <c r="V585" s="122">
        <v>1200</v>
      </c>
      <c r="W585" s="122">
        <v>14050</v>
      </c>
      <c r="X585" s="113">
        <v>7272</v>
      </c>
      <c r="Y585" s="122">
        <v>14056</v>
      </c>
      <c r="Z585" s="113">
        <v>7272</v>
      </c>
      <c r="AA585" s="113">
        <v>0</v>
      </c>
      <c r="AB585" s="113">
        <v>0</v>
      </c>
      <c r="AC585" s="122">
        <v>54260</v>
      </c>
      <c r="AD585" s="113">
        <v>0</v>
      </c>
      <c r="AE585" s="122" t="s">
        <v>433</v>
      </c>
      <c r="AF585" s="92">
        <v>0</v>
      </c>
      <c r="AG585" s="92"/>
      <c r="AH585" s="92" t="s">
        <v>2</v>
      </c>
      <c r="AI585" s="92" t="s">
        <v>1785</v>
      </c>
      <c r="AJ585" s="92" t="s">
        <v>1787</v>
      </c>
      <c r="AK585" s="92" t="s">
        <v>1779</v>
      </c>
      <c r="AL585" s="92">
        <v>0</v>
      </c>
      <c r="AM585" s="92">
        <v>0</v>
      </c>
    </row>
    <row r="586" spans="2:39">
      <c r="B586" s="122">
        <v>2149</v>
      </c>
      <c r="C586" s="132">
        <v>26313</v>
      </c>
      <c r="D586" s="122" t="s">
        <v>433</v>
      </c>
      <c r="E586" s="92" t="s">
        <v>1626</v>
      </c>
      <c r="F586" t="s">
        <v>735</v>
      </c>
      <c r="I586" s="122">
        <v>1</v>
      </c>
      <c r="J586" s="92"/>
      <c r="K586" s="122">
        <v>0</v>
      </c>
      <c r="L586" s="92" t="s">
        <v>734</v>
      </c>
      <c r="M586" s="92"/>
      <c r="N586" s="92" t="s">
        <v>646</v>
      </c>
      <c r="O586" s="92" t="s">
        <v>1789</v>
      </c>
      <c r="P586" s="92"/>
      <c r="Q586" s="92"/>
      <c r="R586" s="92"/>
      <c r="S586" s="133">
        <v>38118</v>
      </c>
      <c r="T586" s="133">
        <v>38118</v>
      </c>
      <c r="U586" s="92"/>
      <c r="V586" s="122">
        <v>600</v>
      </c>
      <c r="W586" s="122">
        <v>14050</v>
      </c>
      <c r="X586" s="113">
        <v>3851.25</v>
      </c>
      <c r="Y586" s="122">
        <v>14056</v>
      </c>
      <c r="Z586" s="113">
        <v>3851.25</v>
      </c>
      <c r="AA586" s="113">
        <v>0</v>
      </c>
      <c r="AB586" s="113">
        <v>0</v>
      </c>
      <c r="AC586" s="122">
        <v>54260</v>
      </c>
      <c r="AD586" s="113">
        <v>0</v>
      </c>
      <c r="AE586" s="122" t="s">
        <v>433</v>
      </c>
      <c r="AF586" s="92">
        <v>0</v>
      </c>
      <c r="AG586" s="92"/>
      <c r="AH586" s="92" t="s">
        <v>2</v>
      </c>
      <c r="AI586" s="92" t="s">
        <v>1785</v>
      </c>
      <c r="AJ586" s="92" t="s">
        <v>1787</v>
      </c>
      <c r="AK586" s="92" t="s">
        <v>1779</v>
      </c>
      <c r="AL586" s="92">
        <v>0</v>
      </c>
      <c r="AM586" s="92">
        <v>0</v>
      </c>
    </row>
    <row r="587" spans="2:39">
      <c r="B587" s="122">
        <v>2149</v>
      </c>
      <c r="C587" s="132">
        <v>25991</v>
      </c>
      <c r="D587" s="122">
        <v>23895</v>
      </c>
      <c r="E587" s="92" t="s">
        <v>1626</v>
      </c>
      <c r="F587" t="s">
        <v>733</v>
      </c>
      <c r="I587" s="122">
        <v>1</v>
      </c>
      <c r="J587" s="92" t="s">
        <v>732</v>
      </c>
      <c r="K587" s="122">
        <v>0</v>
      </c>
      <c r="L587" s="92"/>
      <c r="M587" s="92"/>
      <c r="N587" s="92" t="s">
        <v>1788</v>
      </c>
      <c r="O587" s="92" t="s">
        <v>1789</v>
      </c>
      <c r="P587" s="92" t="s">
        <v>1802</v>
      </c>
      <c r="Q587" s="92"/>
      <c r="R587" s="92"/>
      <c r="S587" s="133">
        <v>38093</v>
      </c>
      <c r="T587" s="133">
        <v>38093</v>
      </c>
      <c r="U587" s="92">
        <v>42149001</v>
      </c>
      <c r="V587" s="122">
        <v>1000</v>
      </c>
      <c r="W587" s="122">
        <v>14040</v>
      </c>
      <c r="X587" s="113">
        <v>924.88</v>
      </c>
      <c r="Y587" s="122">
        <v>14046</v>
      </c>
      <c r="Z587" s="113">
        <v>924.88</v>
      </c>
      <c r="AA587" s="113">
        <v>0</v>
      </c>
      <c r="AB587" s="113">
        <v>0</v>
      </c>
      <c r="AC587" s="122">
        <v>51260</v>
      </c>
      <c r="AD587" s="113">
        <v>0</v>
      </c>
      <c r="AE587" s="122" t="s">
        <v>433</v>
      </c>
      <c r="AF587" s="92">
        <v>0</v>
      </c>
      <c r="AG587" s="92">
        <v>25</v>
      </c>
      <c r="AH587" s="92" t="s">
        <v>2</v>
      </c>
      <c r="AI587" s="92" t="s">
        <v>1785</v>
      </c>
      <c r="AJ587" s="92" t="s">
        <v>1787</v>
      </c>
      <c r="AK587" s="92" t="s">
        <v>1779</v>
      </c>
      <c r="AL587" s="92">
        <v>0</v>
      </c>
      <c r="AM587" s="92">
        <v>0</v>
      </c>
    </row>
    <row r="588" spans="2:39">
      <c r="B588" s="122">
        <v>2149</v>
      </c>
      <c r="C588" s="132">
        <v>25402</v>
      </c>
      <c r="D588" s="122" t="s">
        <v>433</v>
      </c>
      <c r="E588" s="92" t="s">
        <v>1626</v>
      </c>
      <c r="F588" t="s">
        <v>731</v>
      </c>
      <c r="I588" s="122">
        <v>30</v>
      </c>
      <c r="J588" s="92"/>
      <c r="K588" s="122">
        <v>0</v>
      </c>
      <c r="L588" s="92" t="s">
        <v>730</v>
      </c>
      <c r="M588" s="92"/>
      <c r="N588" s="92" t="s">
        <v>646</v>
      </c>
      <c r="O588" s="92" t="s">
        <v>1789</v>
      </c>
      <c r="P588" s="92"/>
      <c r="Q588" s="92" t="s">
        <v>1792</v>
      </c>
      <c r="R588" s="92" t="s">
        <v>1791</v>
      </c>
      <c r="S588" s="133">
        <v>38114</v>
      </c>
      <c r="T588" s="133">
        <v>38114</v>
      </c>
      <c r="U588" s="92"/>
      <c r="V588" s="122">
        <v>600</v>
      </c>
      <c r="W588" s="122">
        <v>14050</v>
      </c>
      <c r="X588" s="113">
        <v>4100.5</v>
      </c>
      <c r="Y588" s="122">
        <v>14056</v>
      </c>
      <c r="Z588" s="113">
        <v>4100.5</v>
      </c>
      <c r="AA588" s="113">
        <v>0</v>
      </c>
      <c r="AB588" s="113">
        <v>0</v>
      </c>
      <c r="AC588" s="122">
        <v>54260</v>
      </c>
      <c r="AD588" s="113">
        <v>0</v>
      </c>
      <c r="AE588" s="122" t="s">
        <v>433</v>
      </c>
      <c r="AF588" s="92">
        <v>0</v>
      </c>
      <c r="AG588" s="92"/>
      <c r="AH588" s="92" t="s">
        <v>2</v>
      </c>
      <c r="AI588" s="92" t="s">
        <v>1785</v>
      </c>
      <c r="AJ588" s="92" t="s">
        <v>1787</v>
      </c>
      <c r="AK588" s="92" t="s">
        <v>1779</v>
      </c>
      <c r="AL588" s="92">
        <v>0</v>
      </c>
      <c r="AM588" s="92">
        <v>0</v>
      </c>
    </row>
    <row r="589" spans="2:39">
      <c r="B589" s="122">
        <v>2149</v>
      </c>
      <c r="C589" s="132">
        <v>25036</v>
      </c>
      <c r="D589" s="122" t="s">
        <v>433</v>
      </c>
      <c r="E589" s="92" t="s">
        <v>1626</v>
      </c>
      <c r="F589" t="s">
        <v>729</v>
      </c>
      <c r="I589" s="122">
        <v>1</v>
      </c>
      <c r="J589" s="92"/>
      <c r="K589" s="122">
        <v>0</v>
      </c>
      <c r="L589" s="92" t="s">
        <v>728</v>
      </c>
      <c r="M589" s="92"/>
      <c r="N589" s="92" t="s">
        <v>646</v>
      </c>
      <c r="O589" s="92" t="s">
        <v>1789</v>
      </c>
      <c r="P589" s="92"/>
      <c r="Q589" s="92"/>
      <c r="R589" s="92"/>
      <c r="S589" s="133">
        <v>38064</v>
      </c>
      <c r="T589" s="133">
        <v>38064</v>
      </c>
      <c r="U589" s="92">
        <v>42149003</v>
      </c>
      <c r="V589" s="122">
        <v>1200</v>
      </c>
      <c r="W589" s="122">
        <v>14050</v>
      </c>
      <c r="X589" s="113">
        <v>16336</v>
      </c>
      <c r="Y589" s="122">
        <v>14056</v>
      </c>
      <c r="Z589" s="113">
        <v>16336</v>
      </c>
      <c r="AA589" s="113">
        <v>0</v>
      </c>
      <c r="AB589" s="113">
        <v>0</v>
      </c>
      <c r="AC589" s="122">
        <v>54260</v>
      </c>
      <c r="AD589" s="113">
        <v>0</v>
      </c>
      <c r="AE589" s="122" t="s">
        <v>433</v>
      </c>
      <c r="AF589" s="92">
        <v>0</v>
      </c>
      <c r="AG589" s="92"/>
      <c r="AH589" s="92" t="s">
        <v>2</v>
      </c>
      <c r="AI589" s="92" t="s">
        <v>1785</v>
      </c>
      <c r="AJ589" s="92" t="s">
        <v>1787</v>
      </c>
      <c r="AK589" s="92" t="s">
        <v>1779</v>
      </c>
      <c r="AL589" s="92">
        <v>0</v>
      </c>
      <c r="AM589" s="92">
        <v>0</v>
      </c>
    </row>
    <row r="590" spans="2:39">
      <c r="B590" s="122">
        <v>2149</v>
      </c>
      <c r="C590" s="132">
        <v>25035</v>
      </c>
      <c r="D590" s="122" t="s">
        <v>433</v>
      </c>
      <c r="E590" s="92" t="s">
        <v>1626</v>
      </c>
      <c r="F590" t="s">
        <v>1804</v>
      </c>
      <c r="I590" s="122">
        <v>1</v>
      </c>
      <c r="J590" s="92"/>
      <c r="K590" s="122">
        <v>0</v>
      </c>
      <c r="L590" s="92" t="s">
        <v>727</v>
      </c>
      <c r="M590" s="92"/>
      <c r="N590" s="92" t="s">
        <v>1800</v>
      </c>
      <c r="O590" s="92" t="s">
        <v>1800</v>
      </c>
      <c r="P590" s="92"/>
      <c r="Q590" s="92"/>
      <c r="R590" s="92"/>
      <c r="S590" s="133">
        <v>38110</v>
      </c>
      <c r="T590" s="133">
        <v>38110</v>
      </c>
      <c r="U590" s="92">
        <v>42149006</v>
      </c>
      <c r="V590" s="122">
        <v>1000</v>
      </c>
      <c r="W590" s="122">
        <v>14090</v>
      </c>
      <c r="X590" s="113">
        <v>2629.35</v>
      </c>
      <c r="Y590" s="122">
        <v>14096</v>
      </c>
      <c r="Z590" s="113">
        <v>2629.35</v>
      </c>
      <c r="AA590" s="113">
        <v>0</v>
      </c>
      <c r="AB590" s="113">
        <v>0</v>
      </c>
      <c r="AC590" s="122">
        <v>57260</v>
      </c>
      <c r="AD590" s="113">
        <v>0</v>
      </c>
      <c r="AE590" s="122" t="s">
        <v>433</v>
      </c>
      <c r="AF590" s="92">
        <v>0</v>
      </c>
      <c r="AG590" s="92"/>
      <c r="AH590" s="92" t="s">
        <v>2</v>
      </c>
      <c r="AI590" s="92" t="s">
        <v>1785</v>
      </c>
      <c r="AJ590" s="92" t="s">
        <v>1787</v>
      </c>
      <c r="AK590" s="92" t="e">
        <v>#N/A</v>
      </c>
      <c r="AL590" s="92" t="e">
        <v>#N/A</v>
      </c>
      <c r="AM590" s="92" t="e">
        <v>#N/A</v>
      </c>
    </row>
    <row r="591" spans="2:39">
      <c r="B591" s="122">
        <v>2149</v>
      </c>
      <c r="C591" s="132">
        <v>25034</v>
      </c>
      <c r="D591" s="122" t="s">
        <v>433</v>
      </c>
      <c r="E591" s="92" t="s">
        <v>1626</v>
      </c>
      <c r="F591" t="s">
        <v>1803</v>
      </c>
      <c r="I591" s="122">
        <v>1</v>
      </c>
      <c r="J591" s="92"/>
      <c r="K591" s="122">
        <v>0</v>
      </c>
      <c r="L591" s="92" t="s">
        <v>727</v>
      </c>
      <c r="M591" s="92"/>
      <c r="N591" s="92" t="s">
        <v>1800</v>
      </c>
      <c r="O591" s="92" t="s">
        <v>1800</v>
      </c>
      <c r="P591" s="92"/>
      <c r="Q591" s="92"/>
      <c r="R591" s="92"/>
      <c r="S591" s="133">
        <v>38110</v>
      </c>
      <c r="T591" s="133">
        <v>38110</v>
      </c>
      <c r="U591" s="92">
        <v>42149006</v>
      </c>
      <c r="V591" s="122">
        <v>1000</v>
      </c>
      <c r="W591" s="122">
        <v>14090</v>
      </c>
      <c r="X591" s="113">
        <v>557.49</v>
      </c>
      <c r="Y591" s="122">
        <v>14096</v>
      </c>
      <c r="Z591" s="113">
        <v>557.49</v>
      </c>
      <c r="AA591" s="113">
        <v>0</v>
      </c>
      <c r="AB591" s="113">
        <v>0</v>
      </c>
      <c r="AC591" s="122">
        <v>57260</v>
      </c>
      <c r="AD591" s="113">
        <v>0</v>
      </c>
      <c r="AE591" s="122" t="s">
        <v>433</v>
      </c>
      <c r="AF591" s="92">
        <v>0</v>
      </c>
      <c r="AG591" s="92"/>
      <c r="AH591" s="92" t="s">
        <v>2</v>
      </c>
      <c r="AI591" s="92" t="s">
        <v>1785</v>
      </c>
      <c r="AJ591" s="92" t="s">
        <v>1787</v>
      </c>
      <c r="AK591" s="92" t="e">
        <v>#N/A</v>
      </c>
      <c r="AL591" s="92" t="e">
        <v>#N/A</v>
      </c>
      <c r="AM591" s="92" t="e">
        <v>#N/A</v>
      </c>
    </row>
    <row r="592" spans="2:39">
      <c r="B592" s="122">
        <v>2149</v>
      </c>
      <c r="C592" s="132">
        <v>23904</v>
      </c>
      <c r="D592" s="122">
        <v>23895</v>
      </c>
      <c r="E592" s="92" t="s">
        <v>1626</v>
      </c>
      <c r="F592" t="s">
        <v>726</v>
      </c>
      <c r="I592" s="122">
        <v>1</v>
      </c>
      <c r="J592" s="92">
        <v>432</v>
      </c>
      <c r="K592" s="122">
        <v>2003</v>
      </c>
      <c r="L592" s="92"/>
      <c r="M592" s="92"/>
      <c r="N592" s="92" t="s">
        <v>1788</v>
      </c>
      <c r="O592" s="92" t="s">
        <v>1789</v>
      </c>
      <c r="P592" s="92" t="s">
        <v>1802</v>
      </c>
      <c r="Q592" s="92"/>
      <c r="R592" s="92"/>
      <c r="S592" s="133">
        <v>38033</v>
      </c>
      <c r="T592" s="133">
        <v>38033</v>
      </c>
      <c r="U592" s="92">
        <v>42149001</v>
      </c>
      <c r="V592" s="122">
        <v>1000</v>
      </c>
      <c r="W592" s="122">
        <v>14040</v>
      </c>
      <c r="X592" s="113">
        <v>39957.870000000003</v>
      </c>
      <c r="Y592" s="122">
        <v>14046</v>
      </c>
      <c r="Z592" s="113">
        <v>39957.870000000003</v>
      </c>
      <c r="AA592" s="113">
        <v>0</v>
      </c>
      <c r="AB592" s="113">
        <v>0</v>
      </c>
      <c r="AC592" s="122">
        <v>51260</v>
      </c>
      <c r="AD592" s="113">
        <v>0</v>
      </c>
      <c r="AE592" s="122" t="s">
        <v>663</v>
      </c>
      <c r="AF592" s="92">
        <v>0</v>
      </c>
      <c r="AG592" s="92">
        <v>25</v>
      </c>
      <c r="AH592" s="92" t="s">
        <v>2</v>
      </c>
      <c r="AI592" s="92" t="s">
        <v>1785</v>
      </c>
      <c r="AJ592" s="92" t="s">
        <v>1787</v>
      </c>
      <c r="AK592" s="92" t="s">
        <v>1779</v>
      </c>
      <c r="AL592" s="92">
        <v>0</v>
      </c>
      <c r="AM592" s="92">
        <v>0</v>
      </c>
    </row>
    <row r="593" spans="2:39">
      <c r="B593" s="122">
        <v>2149</v>
      </c>
      <c r="C593" s="132">
        <v>23895</v>
      </c>
      <c r="D593" s="122" t="s">
        <v>433</v>
      </c>
      <c r="E593" s="92" t="s">
        <v>1626</v>
      </c>
      <c r="F593" t="s">
        <v>726</v>
      </c>
      <c r="I593" s="122">
        <v>1</v>
      </c>
      <c r="J593" s="92" t="s">
        <v>725</v>
      </c>
      <c r="K593" s="122">
        <v>2003</v>
      </c>
      <c r="L593" s="92" t="s">
        <v>724</v>
      </c>
      <c r="M593" s="92" t="s">
        <v>685</v>
      </c>
      <c r="N593" s="92" t="s">
        <v>1788</v>
      </c>
      <c r="O593" s="92" t="s">
        <v>1789</v>
      </c>
      <c r="P593" s="92" t="s">
        <v>1802</v>
      </c>
      <c r="Q593" s="92"/>
      <c r="R593" s="92"/>
      <c r="S593" s="133">
        <v>38026</v>
      </c>
      <c r="T593" s="133">
        <v>38026</v>
      </c>
      <c r="U593" s="92">
        <v>42149001</v>
      </c>
      <c r="V593" s="122">
        <v>1000</v>
      </c>
      <c r="W593" s="122">
        <v>14040</v>
      </c>
      <c r="X593" s="113">
        <v>101641</v>
      </c>
      <c r="Y593" s="122">
        <v>14046</v>
      </c>
      <c r="Z593" s="113">
        <v>101641</v>
      </c>
      <c r="AA593" s="113">
        <v>0</v>
      </c>
      <c r="AB593" s="113">
        <v>0</v>
      </c>
      <c r="AC593" s="122">
        <v>51260</v>
      </c>
      <c r="AD593" s="113">
        <v>0</v>
      </c>
      <c r="AE593" s="122" t="s">
        <v>663</v>
      </c>
      <c r="AF593" s="92">
        <v>0</v>
      </c>
      <c r="AG593" s="92">
        <v>25</v>
      </c>
      <c r="AH593" s="92" t="s">
        <v>2</v>
      </c>
      <c r="AI593" s="92" t="s">
        <v>1785</v>
      </c>
      <c r="AJ593" s="92" t="s">
        <v>1787</v>
      </c>
      <c r="AK593" s="92" t="s">
        <v>1779</v>
      </c>
      <c r="AL593" s="92">
        <v>0</v>
      </c>
      <c r="AM593" s="92">
        <v>0</v>
      </c>
    </row>
    <row r="594" spans="2:39">
      <c r="B594" s="122">
        <v>2149</v>
      </c>
      <c r="C594" s="132">
        <v>23540</v>
      </c>
      <c r="D594" s="122" t="s">
        <v>433</v>
      </c>
      <c r="E594" s="92" t="s">
        <v>1626</v>
      </c>
      <c r="F594" t="s">
        <v>231</v>
      </c>
      <c r="I594" s="122">
        <v>1</v>
      </c>
      <c r="J594" s="92"/>
      <c r="K594" s="122">
        <v>2004</v>
      </c>
      <c r="L594" s="92" t="s">
        <v>723</v>
      </c>
      <c r="M594" s="92" t="s">
        <v>722</v>
      </c>
      <c r="N594" s="92" t="s">
        <v>1801</v>
      </c>
      <c r="O594" s="92" t="s">
        <v>1789</v>
      </c>
      <c r="P594" s="92"/>
      <c r="Q594" s="92"/>
      <c r="R594" s="92"/>
      <c r="S594" s="133">
        <v>38012</v>
      </c>
      <c r="T594" s="133">
        <v>38012</v>
      </c>
      <c r="U594" s="92">
        <v>42149012</v>
      </c>
      <c r="V594" s="122">
        <v>500</v>
      </c>
      <c r="W594" s="122">
        <v>14070</v>
      </c>
      <c r="X594" s="113">
        <v>2057.64</v>
      </c>
      <c r="Y594" s="122">
        <v>14076</v>
      </c>
      <c r="Z594" s="113">
        <v>2057.64</v>
      </c>
      <c r="AA594" s="113">
        <v>0</v>
      </c>
      <c r="AB594" s="113">
        <v>0</v>
      </c>
      <c r="AC594" s="122">
        <v>51260</v>
      </c>
      <c r="AD594" s="113">
        <v>0</v>
      </c>
      <c r="AE594" s="122" t="s">
        <v>433</v>
      </c>
      <c r="AF594" s="92"/>
      <c r="AG594" s="92"/>
      <c r="AH594" s="92" t="s">
        <v>2</v>
      </c>
      <c r="AI594" s="92" t="s">
        <v>1785</v>
      </c>
      <c r="AJ594" s="92" t="s">
        <v>1787</v>
      </c>
      <c r="AK594" s="92" t="s">
        <v>1779</v>
      </c>
      <c r="AL594" s="92">
        <v>0</v>
      </c>
      <c r="AM594" s="92">
        <v>0</v>
      </c>
    </row>
    <row r="595" spans="2:39">
      <c r="B595" s="122">
        <v>2149</v>
      </c>
      <c r="C595" s="132">
        <v>20910</v>
      </c>
      <c r="D595" s="122" t="s">
        <v>433</v>
      </c>
      <c r="E595" s="92" t="s">
        <v>1626</v>
      </c>
      <c r="F595" t="s">
        <v>721</v>
      </c>
      <c r="I595" s="122">
        <v>1</v>
      </c>
      <c r="J595" s="92"/>
      <c r="K595" s="122">
        <v>0</v>
      </c>
      <c r="L595" s="92" t="s">
        <v>720</v>
      </c>
      <c r="M595" s="92"/>
      <c r="N595" s="92" t="s">
        <v>1799</v>
      </c>
      <c r="O595" s="92" t="s">
        <v>1789</v>
      </c>
      <c r="P595" s="92"/>
      <c r="Q595" s="92"/>
      <c r="R595" s="92"/>
      <c r="S595" s="133">
        <v>37834</v>
      </c>
      <c r="T595" s="133">
        <v>37834</v>
      </c>
      <c r="U595" s="92" t="s">
        <v>719</v>
      </c>
      <c r="V595" s="122">
        <v>300</v>
      </c>
      <c r="W595" s="122">
        <v>14080</v>
      </c>
      <c r="X595" s="113">
        <v>895.95</v>
      </c>
      <c r="Y595" s="122">
        <v>14086</v>
      </c>
      <c r="Z595" s="113">
        <v>895.95</v>
      </c>
      <c r="AA595" s="113">
        <v>0</v>
      </c>
      <c r="AB595" s="113">
        <v>0</v>
      </c>
      <c r="AC595" s="122">
        <v>57260</v>
      </c>
      <c r="AD595" s="113">
        <v>0</v>
      </c>
      <c r="AE595" s="122" t="s">
        <v>433</v>
      </c>
      <c r="AF595" s="92"/>
      <c r="AG595" s="92"/>
      <c r="AH595" s="92" t="s">
        <v>2</v>
      </c>
      <c r="AI595" s="92" t="s">
        <v>1785</v>
      </c>
      <c r="AJ595" s="92" t="s">
        <v>1787</v>
      </c>
      <c r="AK595" s="92" t="e">
        <v>#N/A</v>
      </c>
      <c r="AL595" s="92" t="e">
        <v>#N/A</v>
      </c>
      <c r="AM595" s="92" t="e">
        <v>#N/A</v>
      </c>
    </row>
    <row r="596" spans="2:39">
      <c r="B596" s="122">
        <v>2149</v>
      </c>
      <c r="C596" s="132">
        <v>20900</v>
      </c>
      <c r="D596" s="122" t="s">
        <v>433</v>
      </c>
      <c r="E596" s="92" t="s">
        <v>1626</v>
      </c>
      <c r="F596" t="s">
        <v>718</v>
      </c>
      <c r="I596" s="122">
        <v>17</v>
      </c>
      <c r="J596" s="92"/>
      <c r="K596" s="122">
        <v>0</v>
      </c>
      <c r="L596" s="92" t="s">
        <v>696</v>
      </c>
      <c r="M596" s="92"/>
      <c r="N596" s="92" t="s">
        <v>646</v>
      </c>
      <c r="O596" s="92" t="s">
        <v>1789</v>
      </c>
      <c r="P596" s="92"/>
      <c r="Q596" s="92" t="s">
        <v>1790</v>
      </c>
      <c r="R596" s="92" t="s">
        <v>1791</v>
      </c>
      <c r="S596" s="133">
        <v>37834</v>
      </c>
      <c r="T596" s="133">
        <v>37834</v>
      </c>
      <c r="U596" s="92" t="s">
        <v>716</v>
      </c>
      <c r="V596" s="122">
        <v>500</v>
      </c>
      <c r="W596" s="122">
        <v>14050</v>
      </c>
      <c r="X596" s="113">
        <v>5622.5</v>
      </c>
      <c r="Y596" s="122">
        <v>14056</v>
      </c>
      <c r="Z596" s="113">
        <v>5622.5</v>
      </c>
      <c r="AA596" s="113">
        <v>0</v>
      </c>
      <c r="AB596" s="113">
        <v>0</v>
      </c>
      <c r="AC596" s="122">
        <v>54260</v>
      </c>
      <c r="AD596" s="113">
        <v>0</v>
      </c>
      <c r="AE596" s="122" t="s">
        <v>433</v>
      </c>
      <c r="AF596" s="92"/>
      <c r="AG596" s="92"/>
      <c r="AH596" s="92" t="s">
        <v>2</v>
      </c>
      <c r="AI596" s="92" t="s">
        <v>1785</v>
      </c>
      <c r="AJ596" s="92" t="s">
        <v>1787</v>
      </c>
      <c r="AK596" s="92" t="s">
        <v>1779</v>
      </c>
      <c r="AL596" s="92">
        <v>0</v>
      </c>
      <c r="AM596" s="92">
        <v>0</v>
      </c>
    </row>
    <row r="597" spans="2:39">
      <c r="B597" s="122">
        <v>2149</v>
      </c>
      <c r="C597" s="132">
        <v>20899</v>
      </c>
      <c r="D597" s="122" t="s">
        <v>433</v>
      </c>
      <c r="E597" s="92" t="s">
        <v>1626</v>
      </c>
      <c r="F597" t="s">
        <v>717</v>
      </c>
      <c r="I597" s="122">
        <v>30</v>
      </c>
      <c r="J597" s="92"/>
      <c r="K597" s="122">
        <v>0</v>
      </c>
      <c r="L597" s="92" t="s">
        <v>696</v>
      </c>
      <c r="M597" s="92"/>
      <c r="N597" s="92" t="s">
        <v>646</v>
      </c>
      <c r="O597" s="92" t="s">
        <v>1789</v>
      </c>
      <c r="P597" s="92"/>
      <c r="Q597" s="92" t="s">
        <v>1792</v>
      </c>
      <c r="R597" s="92" t="s">
        <v>1791</v>
      </c>
      <c r="S597" s="133">
        <v>37834</v>
      </c>
      <c r="T597" s="133">
        <v>37834</v>
      </c>
      <c r="U597" s="92" t="s">
        <v>716</v>
      </c>
      <c r="V597" s="122">
        <v>500</v>
      </c>
      <c r="W597" s="122">
        <v>14050</v>
      </c>
      <c r="X597" s="113">
        <v>10239.5</v>
      </c>
      <c r="Y597" s="122">
        <v>14056</v>
      </c>
      <c r="Z597" s="113">
        <v>10239.5</v>
      </c>
      <c r="AA597" s="113">
        <v>0</v>
      </c>
      <c r="AB597" s="113">
        <v>0</v>
      </c>
      <c r="AC597" s="122">
        <v>54260</v>
      </c>
      <c r="AD597" s="113">
        <v>0</v>
      </c>
      <c r="AE597" s="122" t="s">
        <v>433</v>
      </c>
      <c r="AF597" s="92"/>
      <c r="AG597" s="92"/>
      <c r="AH597" s="92" t="s">
        <v>2</v>
      </c>
      <c r="AI597" s="92" t="s">
        <v>1785</v>
      </c>
      <c r="AJ597" s="92" t="s">
        <v>1787</v>
      </c>
      <c r="AK597" s="92" t="s">
        <v>1779</v>
      </c>
      <c r="AL597" s="92">
        <v>0</v>
      </c>
      <c r="AM597" s="92">
        <v>0</v>
      </c>
    </row>
    <row r="598" spans="2:39">
      <c r="B598" s="122">
        <v>2149</v>
      </c>
      <c r="C598" s="132">
        <v>19965</v>
      </c>
      <c r="D598" s="122" t="s">
        <v>433</v>
      </c>
      <c r="E598" s="92" t="s">
        <v>1626</v>
      </c>
      <c r="F598" t="s">
        <v>715</v>
      </c>
      <c r="I598" s="122">
        <v>4</v>
      </c>
      <c r="J598" s="92"/>
      <c r="K598" s="122">
        <v>0</v>
      </c>
      <c r="L598" s="92" t="s">
        <v>699</v>
      </c>
      <c r="M598" s="92"/>
      <c r="N598" s="92" t="s">
        <v>646</v>
      </c>
      <c r="O598" s="92" t="s">
        <v>1789</v>
      </c>
      <c r="P598" s="92"/>
      <c r="Q598" s="92" t="s">
        <v>1796</v>
      </c>
      <c r="R598" s="92" t="s">
        <v>1794</v>
      </c>
      <c r="S598" s="133">
        <v>37772</v>
      </c>
      <c r="T598" s="133">
        <v>37772</v>
      </c>
      <c r="U598" s="92" t="s">
        <v>714</v>
      </c>
      <c r="V598" s="122">
        <v>1200</v>
      </c>
      <c r="W598" s="122">
        <v>14050</v>
      </c>
      <c r="X598" s="113">
        <v>10000</v>
      </c>
      <c r="Y598" s="122">
        <v>14056</v>
      </c>
      <c r="Z598" s="113">
        <v>10000</v>
      </c>
      <c r="AA598" s="113">
        <v>0</v>
      </c>
      <c r="AB598" s="113">
        <v>0</v>
      </c>
      <c r="AC598" s="122">
        <v>54260</v>
      </c>
      <c r="AD598" s="113">
        <v>0</v>
      </c>
      <c r="AE598" s="122" t="s">
        <v>433</v>
      </c>
      <c r="AF598" s="92"/>
      <c r="AG598" s="92"/>
      <c r="AH598" s="92" t="s">
        <v>2</v>
      </c>
      <c r="AI598" s="92" t="s">
        <v>1785</v>
      </c>
      <c r="AJ598" s="92" t="s">
        <v>1787</v>
      </c>
      <c r="AK598" s="92" t="s">
        <v>1779</v>
      </c>
      <c r="AL598" s="92">
        <v>0</v>
      </c>
      <c r="AM598" s="92">
        <v>0</v>
      </c>
    </row>
    <row r="599" spans="2:39">
      <c r="B599" s="122">
        <v>2149</v>
      </c>
      <c r="C599" s="132">
        <v>19284</v>
      </c>
      <c r="D599" s="122" t="s">
        <v>433</v>
      </c>
      <c r="E599" s="92" t="s">
        <v>1626</v>
      </c>
      <c r="F599" t="s">
        <v>713</v>
      </c>
      <c r="I599" s="122">
        <v>1</v>
      </c>
      <c r="J599" s="92" t="s">
        <v>712</v>
      </c>
      <c r="K599" s="122">
        <v>0</v>
      </c>
      <c r="L599" s="92" t="s">
        <v>711</v>
      </c>
      <c r="M599" s="92"/>
      <c r="N599" s="92" t="s">
        <v>1798</v>
      </c>
      <c r="O599" s="92" t="s">
        <v>1789</v>
      </c>
      <c r="P599" s="92"/>
      <c r="Q599" s="92"/>
      <c r="R599" s="92"/>
      <c r="S599" s="133">
        <v>37711</v>
      </c>
      <c r="T599" s="133">
        <v>37711</v>
      </c>
      <c r="U599" s="92"/>
      <c r="V599" s="122">
        <v>300</v>
      </c>
      <c r="W599" s="122">
        <v>14110</v>
      </c>
      <c r="X599" s="113">
        <v>581.89</v>
      </c>
      <c r="Y599" s="122">
        <v>14116</v>
      </c>
      <c r="Z599" s="113">
        <v>581.89</v>
      </c>
      <c r="AA599" s="113">
        <v>0</v>
      </c>
      <c r="AB599" s="113">
        <v>0</v>
      </c>
      <c r="AC599" s="122">
        <v>70260</v>
      </c>
      <c r="AD599" s="113">
        <v>0</v>
      </c>
      <c r="AE599" s="122" t="s">
        <v>433</v>
      </c>
      <c r="AF599" s="92"/>
      <c r="AG599" s="92"/>
      <c r="AH599" s="92" t="s">
        <v>2</v>
      </c>
      <c r="AI599" s="92" t="s">
        <v>1785</v>
      </c>
      <c r="AJ599" s="92" t="s">
        <v>1787</v>
      </c>
      <c r="AK599" s="92" t="e">
        <v>#N/A</v>
      </c>
      <c r="AL599" s="92" t="e">
        <v>#N/A</v>
      </c>
      <c r="AM599" s="92" t="e">
        <v>#N/A</v>
      </c>
    </row>
    <row r="600" spans="2:39">
      <c r="B600" s="122">
        <v>2149</v>
      </c>
      <c r="C600" s="132">
        <v>18442</v>
      </c>
      <c r="D600" s="122" t="s">
        <v>433</v>
      </c>
      <c r="E600" s="92" t="s">
        <v>1626</v>
      </c>
      <c r="F600" t="s">
        <v>710</v>
      </c>
      <c r="I600" s="122">
        <v>36</v>
      </c>
      <c r="J600" s="92"/>
      <c r="K600" s="122">
        <v>0</v>
      </c>
      <c r="L600" s="92" t="s">
        <v>696</v>
      </c>
      <c r="M600" s="92"/>
      <c r="N600" s="92" t="s">
        <v>646</v>
      </c>
      <c r="O600" s="92" t="s">
        <v>1789</v>
      </c>
      <c r="P600" s="92"/>
      <c r="Q600" s="92" t="s">
        <v>1792</v>
      </c>
      <c r="R600" s="92" t="s">
        <v>1791</v>
      </c>
      <c r="S600" s="133">
        <v>37622</v>
      </c>
      <c r="T600" s="133">
        <v>37622</v>
      </c>
      <c r="U600" s="92"/>
      <c r="V600" s="122">
        <v>1000</v>
      </c>
      <c r="W600" s="122">
        <v>14050</v>
      </c>
      <c r="X600" s="113">
        <v>12194</v>
      </c>
      <c r="Y600" s="122">
        <v>14056</v>
      </c>
      <c r="Z600" s="113">
        <v>12194</v>
      </c>
      <c r="AA600" s="113">
        <v>0</v>
      </c>
      <c r="AB600" s="113">
        <v>0</v>
      </c>
      <c r="AC600" s="122">
        <v>54260</v>
      </c>
      <c r="AD600" s="113">
        <v>0</v>
      </c>
      <c r="AE600" s="122" t="s">
        <v>433</v>
      </c>
      <c r="AF600" s="92"/>
      <c r="AG600" s="92"/>
      <c r="AH600" s="92" t="s">
        <v>2</v>
      </c>
      <c r="AI600" s="92" t="s">
        <v>1785</v>
      </c>
      <c r="AJ600" s="92" t="s">
        <v>1787</v>
      </c>
      <c r="AK600" s="92" t="s">
        <v>1779</v>
      </c>
      <c r="AL600" s="92">
        <v>0</v>
      </c>
      <c r="AM600" s="92">
        <v>0</v>
      </c>
    </row>
    <row r="601" spans="2:39">
      <c r="B601" s="122">
        <v>2149</v>
      </c>
      <c r="C601" s="132">
        <v>18441</v>
      </c>
      <c r="D601" s="122" t="s">
        <v>433</v>
      </c>
      <c r="E601" s="92" t="s">
        <v>1626</v>
      </c>
      <c r="F601" t="s">
        <v>709</v>
      </c>
      <c r="I601" s="122">
        <v>1</v>
      </c>
      <c r="J601" s="92"/>
      <c r="K601" s="122">
        <v>0</v>
      </c>
      <c r="L601" s="92" t="s">
        <v>696</v>
      </c>
      <c r="M601" s="92"/>
      <c r="N601" s="92" t="s">
        <v>646</v>
      </c>
      <c r="O601" s="92" t="s">
        <v>1789</v>
      </c>
      <c r="P601" s="92"/>
      <c r="Q601" s="92"/>
      <c r="R601" s="92"/>
      <c r="S601" s="133">
        <v>37622</v>
      </c>
      <c r="T601" s="133">
        <v>37622</v>
      </c>
      <c r="U601" s="92"/>
      <c r="V601" s="122">
        <v>1000</v>
      </c>
      <c r="W601" s="122">
        <v>14050</v>
      </c>
      <c r="X601" s="113">
        <v>1094</v>
      </c>
      <c r="Y601" s="122">
        <v>14056</v>
      </c>
      <c r="Z601" s="113">
        <v>1094</v>
      </c>
      <c r="AA601" s="113">
        <v>0</v>
      </c>
      <c r="AB601" s="113">
        <v>0</v>
      </c>
      <c r="AC601" s="122">
        <v>54260</v>
      </c>
      <c r="AD601" s="113">
        <v>0</v>
      </c>
      <c r="AE601" s="122" t="s">
        <v>433</v>
      </c>
      <c r="AF601" s="92"/>
      <c r="AG601" s="92"/>
      <c r="AH601" s="92" t="s">
        <v>2</v>
      </c>
      <c r="AI601" s="92" t="s">
        <v>1785</v>
      </c>
      <c r="AJ601" s="92" t="s">
        <v>1787</v>
      </c>
      <c r="AK601" s="92" t="s">
        <v>1779</v>
      </c>
      <c r="AL601" s="92">
        <v>0</v>
      </c>
      <c r="AM601" s="92">
        <v>0</v>
      </c>
    </row>
    <row r="602" spans="2:39">
      <c r="B602" s="122">
        <v>2149</v>
      </c>
      <c r="C602" s="132">
        <v>18440</v>
      </c>
      <c r="D602" s="122" t="s">
        <v>433</v>
      </c>
      <c r="E602" s="92" t="s">
        <v>1626</v>
      </c>
      <c r="F602" t="s">
        <v>153</v>
      </c>
      <c r="I602" s="122">
        <v>1</v>
      </c>
      <c r="J602" s="92"/>
      <c r="K602" s="122">
        <v>0</v>
      </c>
      <c r="L602" s="92" t="s">
        <v>703</v>
      </c>
      <c r="M602" s="92"/>
      <c r="N602" s="92" t="s">
        <v>646</v>
      </c>
      <c r="O602" s="92" t="s">
        <v>1789</v>
      </c>
      <c r="P602" s="92"/>
      <c r="Q602" s="92"/>
      <c r="R602" s="92"/>
      <c r="S602" s="133">
        <v>37622</v>
      </c>
      <c r="T602" s="133">
        <v>37622</v>
      </c>
      <c r="U602" s="92"/>
      <c r="V602" s="122">
        <v>1000</v>
      </c>
      <c r="W602" s="122">
        <v>14050</v>
      </c>
      <c r="X602" s="113">
        <v>389.88</v>
      </c>
      <c r="Y602" s="122">
        <v>14056</v>
      </c>
      <c r="Z602" s="113">
        <v>389.88</v>
      </c>
      <c r="AA602" s="113">
        <v>0</v>
      </c>
      <c r="AB602" s="113">
        <v>0</v>
      </c>
      <c r="AC602" s="122">
        <v>54260</v>
      </c>
      <c r="AD602" s="113">
        <v>0</v>
      </c>
      <c r="AE602" s="122" t="s">
        <v>433</v>
      </c>
      <c r="AF602" s="92"/>
      <c r="AG602" s="92"/>
      <c r="AH602" s="92" t="s">
        <v>2</v>
      </c>
      <c r="AI602" s="92" t="s">
        <v>1785</v>
      </c>
      <c r="AJ602" s="92" t="s">
        <v>1787</v>
      </c>
      <c r="AK602" s="92" t="s">
        <v>1779</v>
      </c>
      <c r="AL602" s="92">
        <v>0</v>
      </c>
      <c r="AM602" s="92">
        <v>0</v>
      </c>
    </row>
    <row r="603" spans="2:39">
      <c r="B603" s="122">
        <v>2149</v>
      </c>
      <c r="C603" s="132">
        <v>18296</v>
      </c>
      <c r="D603" s="122" t="s">
        <v>433</v>
      </c>
      <c r="E603" s="92" t="s">
        <v>1626</v>
      </c>
      <c r="F603" t="s">
        <v>153</v>
      </c>
      <c r="I603" s="122">
        <v>1</v>
      </c>
      <c r="J603" s="92"/>
      <c r="K603" s="122">
        <v>0</v>
      </c>
      <c r="L603" s="92" t="s">
        <v>703</v>
      </c>
      <c r="M603" s="92"/>
      <c r="N603" s="92" t="s">
        <v>646</v>
      </c>
      <c r="O603" s="92" t="s">
        <v>1789</v>
      </c>
      <c r="P603" s="92"/>
      <c r="Q603" s="92"/>
      <c r="R603" s="92"/>
      <c r="S603" s="133">
        <v>37621</v>
      </c>
      <c r="T603" s="133">
        <v>37621</v>
      </c>
      <c r="U603" s="92"/>
      <c r="V603" s="122">
        <v>1200</v>
      </c>
      <c r="W603" s="122">
        <v>14050</v>
      </c>
      <c r="X603" s="113">
        <v>689.29</v>
      </c>
      <c r="Y603" s="122">
        <v>14056</v>
      </c>
      <c r="Z603" s="113">
        <v>689.29</v>
      </c>
      <c r="AA603" s="113">
        <v>0</v>
      </c>
      <c r="AB603" s="113">
        <v>0</v>
      </c>
      <c r="AC603" s="122">
        <v>54260</v>
      </c>
      <c r="AD603" s="113">
        <v>0</v>
      </c>
      <c r="AE603" s="122" t="s">
        <v>433</v>
      </c>
      <c r="AF603" s="92"/>
      <c r="AG603" s="92"/>
      <c r="AH603" s="92" t="s">
        <v>2</v>
      </c>
      <c r="AI603" s="92" t="s">
        <v>1785</v>
      </c>
      <c r="AJ603" s="92" t="s">
        <v>1787</v>
      </c>
      <c r="AK603" s="92" t="s">
        <v>1779</v>
      </c>
      <c r="AL603" s="92">
        <v>0</v>
      </c>
      <c r="AM603" s="92">
        <v>0</v>
      </c>
    </row>
    <row r="604" spans="2:39">
      <c r="B604" s="122">
        <v>2149</v>
      </c>
      <c r="C604" s="132">
        <v>17149</v>
      </c>
      <c r="D604" s="122" t="s">
        <v>433</v>
      </c>
      <c r="E604" s="92" t="s">
        <v>1626</v>
      </c>
      <c r="F604" t="s">
        <v>708</v>
      </c>
      <c r="I604" s="122">
        <v>3</v>
      </c>
      <c r="J604" s="92"/>
      <c r="K604" s="122">
        <v>0</v>
      </c>
      <c r="L604" s="92" t="s">
        <v>696</v>
      </c>
      <c r="M604" s="92"/>
      <c r="N604" s="92" t="s">
        <v>646</v>
      </c>
      <c r="O604" s="92" t="s">
        <v>1789</v>
      </c>
      <c r="P604" s="92"/>
      <c r="Q604" s="92" t="s">
        <v>1796</v>
      </c>
      <c r="R604" s="92" t="s">
        <v>1794</v>
      </c>
      <c r="S604" s="133">
        <v>37516</v>
      </c>
      <c r="T604" s="133">
        <v>37516</v>
      </c>
      <c r="U604" s="92"/>
      <c r="V604" s="122">
        <v>1000</v>
      </c>
      <c r="W604" s="122">
        <v>14050</v>
      </c>
      <c r="X604" s="113">
        <v>5827</v>
      </c>
      <c r="Y604" s="122">
        <v>14056</v>
      </c>
      <c r="Z604" s="113">
        <v>5827</v>
      </c>
      <c r="AA604" s="113">
        <v>0</v>
      </c>
      <c r="AB604" s="113">
        <v>0</v>
      </c>
      <c r="AC604" s="122">
        <v>54260</v>
      </c>
      <c r="AD604" s="113">
        <v>0</v>
      </c>
      <c r="AE604" s="122" t="s">
        <v>433</v>
      </c>
      <c r="AF604" s="92"/>
      <c r="AG604" s="92"/>
      <c r="AH604" s="92" t="s">
        <v>2</v>
      </c>
      <c r="AI604" s="92" t="s">
        <v>1785</v>
      </c>
      <c r="AJ604" s="92" t="s">
        <v>1787</v>
      </c>
      <c r="AK604" s="92" t="s">
        <v>1779</v>
      </c>
      <c r="AL604" s="92">
        <v>0</v>
      </c>
      <c r="AM604" s="92">
        <v>0</v>
      </c>
    </row>
    <row r="605" spans="2:39">
      <c r="B605" s="122">
        <v>2149</v>
      </c>
      <c r="C605" s="132">
        <v>17148</v>
      </c>
      <c r="D605" s="122" t="s">
        <v>433</v>
      </c>
      <c r="E605" s="92" t="s">
        <v>1626</v>
      </c>
      <c r="F605" t="s">
        <v>707</v>
      </c>
      <c r="I605" s="122">
        <v>1</v>
      </c>
      <c r="J605" s="92"/>
      <c r="K605" s="122">
        <v>0</v>
      </c>
      <c r="L605" s="92" t="s">
        <v>706</v>
      </c>
      <c r="M605" s="92"/>
      <c r="N605" s="92" t="s">
        <v>646</v>
      </c>
      <c r="O605" s="92" t="s">
        <v>1789</v>
      </c>
      <c r="P605" s="92"/>
      <c r="Q605" s="92"/>
      <c r="R605" s="92"/>
      <c r="S605" s="133">
        <v>37500</v>
      </c>
      <c r="T605" s="133">
        <v>37500</v>
      </c>
      <c r="U605" s="92"/>
      <c r="V605" s="122">
        <v>1200</v>
      </c>
      <c r="W605" s="122">
        <v>14050</v>
      </c>
      <c r="X605" s="113">
        <v>3134.1</v>
      </c>
      <c r="Y605" s="122">
        <v>14056</v>
      </c>
      <c r="Z605" s="113">
        <v>3134.1</v>
      </c>
      <c r="AA605" s="113">
        <v>0</v>
      </c>
      <c r="AB605" s="113">
        <v>0</v>
      </c>
      <c r="AC605" s="122">
        <v>54260</v>
      </c>
      <c r="AD605" s="113">
        <v>0</v>
      </c>
      <c r="AE605" s="122" t="s">
        <v>433</v>
      </c>
      <c r="AF605" s="92"/>
      <c r="AG605" s="92"/>
      <c r="AH605" s="92" t="s">
        <v>2</v>
      </c>
      <c r="AI605" s="92" t="s">
        <v>1785</v>
      </c>
      <c r="AJ605" s="92" t="s">
        <v>1787</v>
      </c>
      <c r="AK605" s="92" t="s">
        <v>1779</v>
      </c>
      <c r="AL605" s="92">
        <v>0</v>
      </c>
      <c r="AM605" s="92">
        <v>0</v>
      </c>
    </row>
    <row r="606" spans="2:39">
      <c r="B606" s="122">
        <v>2149</v>
      </c>
      <c r="C606" s="132">
        <v>17020</v>
      </c>
      <c r="D606" s="122" t="s">
        <v>433</v>
      </c>
      <c r="E606" s="92" t="s">
        <v>1626</v>
      </c>
      <c r="F606" t="s">
        <v>705</v>
      </c>
      <c r="I606" s="122">
        <v>1</v>
      </c>
      <c r="J606" s="92"/>
      <c r="K606" s="122">
        <v>0</v>
      </c>
      <c r="L606" s="92"/>
      <c r="M606" s="92"/>
      <c r="N606" s="92" t="s">
        <v>1784</v>
      </c>
      <c r="O606" s="92" t="s">
        <v>1784</v>
      </c>
      <c r="P606" s="92"/>
      <c r="Q606" s="92"/>
      <c r="R606" s="92"/>
      <c r="S606" s="133">
        <v>37073</v>
      </c>
      <c r="T606" s="133">
        <v>37257</v>
      </c>
      <c r="U606" s="92"/>
      <c r="V606" s="122">
        <v>0</v>
      </c>
      <c r="W606" s="122">
        <v>15260</v>
      </c>
      <c r="X606" s="113">
        <v>-29785.15</v>
      </c>
      <c r="Y606" s="122">
        <v>15266</v>
      </c>
      <c r="Z606" s="113">
        <v>0</v>
      </c>
      <c r="AA606" s="113">
        <v>-29785.15</v>
      </c>
      <c r="AB606" s="113">
        <v>0</v>
      </c>
      <c r="AC606" s="122">
        <v>70264</v>
      </c>
      <c r="AD606" s="113">
        <v>0</v>
      </c>
      <c r="AE606" s="122" t="s">
        <v>663</v>
      </c>
      <c r="AF606" s="92" t="s">
        <v>665</v>
      </c>
      <c r="AG606" s="92" t="s">
        <v>1212</v>
      </c>
      <c r="AH606" s="92" t="s">
        <v>2</v>
      </c>
      <c r="AI606" s="92" t="s">
        <v>1785</v>
      </c>
      <c r="AJ606" s="92" t="s">
        <v>662</v>
      </c>
      <c r="AK606" s="92" t="e">
        <v>#N/A</v>
      </c>
      <c r="AL606" s="92" t="e">
        <v>#N/A</v>
      </c>
      <c r="AM606" s="92" t="e">
        <v>#N/A</v>
      </c>
    </row>
    <row r="607" spans="2:39">
      <c r="B607" s="122">
        <v>2149</v>
      </c>
      <c r="C607" s="132">
        <v>17019</v>
      </c>
      <c r="D607" s="122" t="s">
        <v>433</v>
      </c>
      <c r="E607" s="92" t="s">
        <v>1626</v>
      </c>
      <c r="F607" t="s">
        <v>705</v>
      </c>
      <c r="I607" s="122">
        <v>1</v>
      </c>
      <c r="J607" s="92"/>
      <c r="K607" s="122">
        <v>0</v>
      </c>
      <c r="L607" s="92"/>
      <c r="M607" s="92"/>
      <c r="N607" s="92" t="s">
        <v>1797</v>
      </c>
      <c r="O607" s="92" t="s">
        <v>1797</v>
      </c>
      <c r="P607" s="92"/>
      <c r="Q607" s="92"/>
      <c r="R607" s="92"/>
      <c r="S607" s="133">
        <v>37073</v>
      </c>
      <c r="T607" s="133">
        <v>37257</v>
      </c>
      <c r="U607" s="92"/>
      <c r="V607" s="122">
        <v>0</v>
      </c>
      <c r="W607" s="122">
        <v>15250</v>
      </c>
      <c r="X607" s="113">
        <v>0</v>
      </c>
      <c r="Y607" s="122">
        <v>15256</v>
      </c>
      <c r="Z607" s="113">
        <v>0</v>
      </c>
      <c r="AA607" s="113">
        <v>0</v>
      </c>
      <c r="AB607" s="113">
        <v>0</v>
      </c>
      <c r="AC607" s="122">
        <v>70269</v>
      </c>
      <c r="AD607" s="113">
        <v>0</v>
      </c>
      <c r="AE607" s="122" t="s">
        <v>663</v>
      </c>
      <c r="AF607" s="92" t="s">
        <v>665</v>
      </c>
      <c r="AG607" s="92" t="s">
        <v>1212</v>
      </c>
      <c r="AH607" s="92" t="s">
        <v>2</v>
      </c>
      <c r="AI607" s="92" t="s">
        <v>1785</v>
      </c>
      <c r="AJ607" s="92" t="s">
        <v>662</v>
      </c>
      <c r="AK607" s="92" t="e">
        <v>#N/A</v>
      </c>
      <c r="AL607" s="92" t="e">
        <v>#N/A</v>
      </c>
      <c r="AM607" s="92" t="e">
        <v>#N/A</v>
      </c>
    </row>
    <row r="608" spans="2:39">
      <c r="B608" s="122">
        <v>2149</v>
      </c>
      <c r="C608" s="132">
        <v>16496</v>
      </c>
      <c r="D608" s="122" t="s">
        <v>433</v>
      </c>
      <c r="E608" s="92" t="s">
        <v>1626</v>
      </c>
      <c r="F608" t="s">
        <v>704</v>
      </c>
      <c r="I608" s="122">
        <v>1</v>
      </c>
      <c r="J608" s="92"/>
      <c r="K608" s="122">
        <v>0</v>
      </c>
      <c r="L608" s="92" t="s">
        <v>703</v>
      </c>
      <c r="M608" s="92"/>
      <c r="N608" s="92" t="s">
        <v>646</v>
      </c>
      <c r="O608" s="92" t="s">
        <v>1789</v>
      </c>
      <c r="P608" s="92"/>
      <c r="Q608" s="92"/>
      <c r="R608" s="92"/>
      <c r="S608" s="133">
        <v>37463</v>
      </c>
      <c r="T608" s="133">
        <v>37463</v>
      </c>
      <c r="U608" s="92" t="s">
        <v>693</v>
      </c>
      <c r="V608" s="122">
        <v>1000</v>
      </c>
      <c r="W608" s="122">
        <v>14050</v>
      </c>
      <c r="X608" s="113">
        <v>1419.82</v>
      </c>
      <c r="Y608" s="122">
        <v>14056</v>
      </c>
      <c r="Z608" s="113">
        <v>1419.82</v>
      </c>
      <c r="AA608" s="113">
        <v>0</v>
      </c>
      <c r="AB608" s="113">
        <v>0</v>
      </c>
      <c r="AC608" s="122">
        <v>54260</v>
      </c>
      <c r="AD608" s="113">
        <v>0</v>
      </c>
      <c r="AE608" s="122" t="s">
        <v>433</v>
      </c>
      <c r="AF608" s="92"/>
      <c r="AG608" s="92"/>
      <c r="AH608" s="92" t="s">
        <v>2</v>
      </c>
      <c r="AI608" s="92" t="s">
        <v>1785</v>
      </c>
      <c r="AJ608" s="92" t="s">
        <v>1787</v>
      </c>
      <c r="AK608" s="92" t="s">
        <v>1779</v>
      </c>
      <c r="AL608" s="92">
        <v>0</v>
      </c>
      <c r="AM608" s="92">
        <v>0</v>
      </c>
    </row>
    <row r="609" spans="2:39">
      <c r="B609" s="122">
        <v>2149</v>
      </c>
      <c r="C609" s="132">
        <v>15429</v>
      </c>
      <c r="D609" s="122" t="s">
        <v>433</v>
      </c>
      <c r="E609" s="92" t="s">
        <v>1626</v>
      </c>
      <c r="F609" t="s">
        <v>702</v>
      </c>
      <c r="I609" s="122">
        <v>1</v>
      </c>
      <c r="J609" s="92"/>
      <c r="K609" s="122">
        <v>0</v>
      </c>
      <c r="L609" s="92" t="s">
        <v>701</v>
      </c>
      <c r="M609" s="92"/>
      <c r="N609" s="92" t="s">
        <v>646</v>
      </c>
      <c r="O609" s="92" t="s">
        <v>1789</v>
      </c>
      <c r="P609" s="92"/>
      <c r="Q609" s="92"/>
      <c r="R609" s="92"/>
      <c r="S609" s="133">
        <v>37408</v>
      </c>
      <c r="T609" s="133">
        <v>37408</v>
      </c>
      <c r="U609" s="92" t="s">
        <v>693</v>
      </c>
      <c r="V609" s="122">
        <v>1000</v>
      </c>
      <c r="W609" s="122">
        <v>14050</v>
      </c>
      <c r="X609" s="113">
        <v>212.14</v>
      </c>
      <c r="Y609" s="122">
        <v>14056</v>
      </c>
      <c r="Z609" s="113">
        <v>212.14</v>
      </c>
      <c r="AA609" s="113">
        <v>0</v>
      </c>
      <c r="AB609" s="113">
        <v>0</v>
      </c>
      <c r="AC609" s="122">
        <v>54260</v>
      </c>
      <c r="AD609" s="113">
        <v>0</v>
      </c>
      <c r="AE609" s="122" t="s">
        <v>433</v>
      </c>
      <c r="AF609" s="92"/>
      <c r="AG609" s="92"/>
      <c r="AH609" s="92" t="s">
        <v>2</v>
      </c>
      <c r="AI609" s="92" t="s">
        <v>1785</v>
      </c>
      <c r="AJ609" s="92" t="s">
        <v>1787</v>
      </c>
      <c r="AK609" s="92" t="s">
        <v>1779</v>
      </c>
      <c r="AL609" s="92">
        <v>0</v>
      </c>
      <c r="AM609" s="92">
        <v>0</v>
      </c>
    </row>
    <row r="610" spans="2:39">
      <c r="B610" s="122">
        <v>2149</v>
      </c>
      <c r="C610" s="132">
        <v>15428</v>
      </c>
      <c r="D610" s="122" t="s">
        <v>433</v>
      </c>
      <c r="E610" s="92" t="s">
        <v>1626</v>
      </c>
      <c r="F610" t="s">
        <v>700</v>
      </c>
      <c r="I610" s="122">
        <v>15</v>
      </c>
      <c r="J610" s="92"/>
      <c r="K610" s="122">
        <v>0</v>
      </c>
      <c r="L610" s="92" t="s">
        <v>699</v>
      </c>
      <c r="M610" s="92"/>
      <c r="N610" s="92" t="s">
        <v>646</v>
      </c>
      <c r="O610" s="92" t="s">
        <v>1789</v>
      </c>
      <c r="P610" s="92"/>
      <c r="Q610" s="92"/>
      <c r="R610" s="92"/>
      <c r="S610" s="133">
        <v>37390</v>
      </c>
      <c r="T610" s="133">
        <v>37390</v>
      </c>
      <c r="U610" s="92" t="s">
        <v>693</v>
      </c>
      <c r="V610" s="122">
        <v>1000</v>
      </c>
      <c r="W610" s="122">
        <v>14050</v>
      </c>
      <c r="X610" s="113">
        <v>848.64</v>
      </c>
      <c r="Y610" s="122">
        <v>14056</v>
      </c>
      <c r="Z610" s="113">
        <v>848.64</v>
      </c>
      <c r="AA610" s="113">
        <v>0</v>
      </c>
      <c r="AB610" s="113">
        <v>0</v>
      </c>
      <c r="AC610" s="122">
        <v>54260</v>
      </c>
      <c r="AD610" s="113">
        <v>0</v>
      </c>
      <c r="AE610" s="122" t="s">
        <v>433</v>
      </c>
      <c r="AF610" s="92"/>
      <c r="AG610" s="92"/>
      <c r="AH610" s="92" t="s">
        <v>2</v>
      </c>
      <c r="AI610" s="92" t="s">
        <v>1785</v>
      </c>
      <c r="AJ610" s="92" t="s">
        <v>1787</v>
      </c>
      <c r="AK610" s="92" t="s">
        <v>1779</v>
      </c>
      <c r="AL610" s="92">
        <v>0</v>
      </c>
      <c r="AM610" s="92">
        <v>0</v>
      </c>
    </row>
    <row r="611" spans="2:39">
      <c r="B611" s="122">
        <v>2149</v>
      </c>
      <c r="C611" s="132">
        <v>15427</v>
      </c>
      <c r="D611" s="122" t="s">
        <v>433</v>
      </c>
      <c r="E611" s="92" t="s">
        <v>1626</v>
      </c>
      <c r="F611" t="s">
        <v>698</v>
      </c>
      <c r="I611" s="122">
        <v>1</v>
      </c>
      <c r="J611" s="92"/>
      <c r="K611" s="122">
        <v>0</v>
      </c>
      <c r="L611" s="92" t="s">
        <v>696</v>
      </c>
      <c r="M611" s="92"/>
      <c r="N611" s="92" t="s">
        <v>646</v>
      </c>
      <c r="O611" s="92" t="s">
        <v>1789</v>
      </c>
      <c r="P611" s="92"/>
      <c r="Q611" s="92"/>
      <c r="R611" s="92"/>
      <c r="S611" s="133">
        <v>37411</v>
      </c>
      <c r="T611" s="133">
        <v>37411</v>
      </c>
      <c r="U611" s="92" t="s">
        <v>693</v>
      </c>
      <c r="V611" s="122">
        <v>1000</v>
      </c>
      <c r="W611" s="122">
        <v>14050</v>
      </c>
      <c r="X611" s="113">
        <v>1019</v>
      </c>
      <c r="Y611" s="122">
        <v>14056</v>
      </c>
      <c r="Z611" s="113">
        <v>1019</v>
      </c>
      <c r="AA611" s="113">
        <v>0</v>
      </c>
      <c r="AB611" s="113">
        <v>0</v>
      </c>
      <c r="AC611" s="122">
        <v>54260</v>
      </c>
      <c r="AD611" s="113">
        <v>0</v>
      </c>
      <c r="AE611" s="122" t="s">
        <v>433</v>
      </c>
      <c r="AF611" s="92"/>
      <c r="AG611" s="92"/>
      <c r="AH611" s="92" t="s">
        <v>2</v>
      </c>
      <c r="AI611" s="92" t="s">
        <v>1785</v>
      </c>
      <c r="AJ611" s="92" t="s">
        <v>1787</v>
      </c>
      <c r="AK611" s="92" t="s">
        <v>1779</v>
      </c>
      <c r="AL611" s="92">
        <v>0</v>
      </c>
      <c r="AM611" s="92">
        <v>0</v>
      </c>
    </row>
    <row r="612" spans="2:39">
      <c r="B612" s="122">
        <v>2149</v>
      </c>
      <c r="C612" s="132">
        <v>15425</v>
      </c>
      <c r="D612" s="122" t="s">
        <v>433</v>
      </c>
      <c r="E612" s="92" t="s">
        <v>1626</v>
      </c>
      <c r="F612" t="s">
        <v>697</v>
      </c>
      <c r="I612" s="122">
        <v>7</v>
      </c>
      <c r="J612" s="92"/>
      <c r="K612" s="122">
        <v>0</v>
      </c>
      <c r="L612" s="92" t="s">
        <v>696</v>
      </c>
      <c r="M612" s="92"/>
      <c r="N612" s="92" t="s">
        <v>646</v>
      </c>
      <c r="O612" s="92" t="s">
        <v>1789</v>
      </c>
      <c r="P612" s="92"/>
      <c r="Q612" s="92" t="s">
        <v>1796</v>
      </c>
      <c r="R612" s="92" t="s">
        <v>1794</v>
      </c>
      <c r="S612" s="133">
        <v>37438</v>
      </c>
      <c r="T612" s="133">
        <v>37438</v>
      </c>
      <c r="U612" s="92"/>
      <c r="V612" s="122">
        <v>1000</v>
      </c>
      <c r="W612" s="122">
        <v>14050</v>
      </c>
      <c r="X612" s="113">
        <v>16327.75</v>
      </c>
      <c r="Y612" s="122">
        <v>14056</v>
      </c>
      <c r="Z612" s="113">
        <v>16327.75</v>
      </c>
      <c r="AA612" s="113">
        <v>0</v>
      </c>
      <c r="AB612" s="113">
        <v>0</v>
      </c>
      <c r="AC612" s="122">
        <v>54260</v>
      </c>
      <c r="AD612" s="113">
        <v>0</v>
      </c>
      <c r="AE612" s="122" t="s">
        <v>433</v>
      </c>
      <c r="AF612" s="92"/>
      <c r="AG612" s="92"/>
      <c r="AH612" s="92" t="s">
        <v>2</v>
      </c>
      <c r="AI612" s="92" t="s">
        <v>1785</v>
      </c>
      <c r="AJ612" s="92" t="s">
        <v>1787</v>
      </c>
      <c r="AK612" s="92" t="s">
        <v>1779</v>
      </c>
      <c r="AL612" s="92">
        <v>0</v>
      </c>
      <c r="AM612" s="92">
        <v>0</v>
      </c>
    </row>
    <row r="613" spans="2:39">
      <c r="B613" s="122">
        <v>2149</v>
      </c>
      <c r="C613" s="132">
        <v>15037</v>
      </c>
      <c r="D613" s="122" t="s">
        <v>433</v>
      </c>
      <c r="E613" s="92" t="s">
        <v>1626</v>
      </c>
      <c r="F613" t="s">
        <v>695</v>
      </c>
      <c r="I613" s="122">
        <v>1</v>
      </c>
      <c r="J613" s="92"/>
      <c r="K613" s="122">
        <v>0</v>
      </c>
      <c r="L613" s="92"/>
      <c r="M613" s="92"/>
      <c r="N613" s="92" t="s">
        <v>1784</v>
      </c>
      <c r="O613" s="92" t="s">
        <v>1784</v>
      </c>
      <c r="P613" s="92"/>
      <c r="Q613" s="92"/>
      <c r="R613" s="92"/>
      <c r="S613" s="133">
        <v>37408</v>
      </c>
      <c r="T613" s="133">
        <v>37408</v>
      </c>
      <c r="U613" s="92"/>
      <c r="V613" s="122">
        <v>0</v>
      </c>
      <c r="W613" s="122">
        <v>15260</v>
      </c>
      <c r="X613" s="113">
        <v>53448.39</v>
      </c>
      <c r="Y613" s="122">
        <v>15266</v>
      </c>
      <c r="Z613" s="113">
        <v>0</v>
      </c>
      <c r="AA613" s="113">
        <v>53448.39</v>
      </c>
      <c r="AB613" s="113">
        <v>0</v>
      </c>
      <c r="AC613" s="122">
        <v>70264</v>
      </c>
      <c r="AD613" s="113">
        <v>0</v>
      </c>
      <c r="AE613" s="122" t="s">
        <v>663</v>
      </c>
      <c r="AF613" s="92" t="s">
        <v>665</v>
      </c>
      <c r="AG613" s="92" t="s">
        <v>1212</v>
      </c>
      <c r="AH613" s="92" t="s">
        <v>2</v>
      </c>
      <c r="AI613" s="92" t="s">
        <v>1785</v>
      </c>
      <c r="AJ613" s="92" t="s">
        <v>662</v>
      </c>
      <c r="AK613" s="92" t="e">
        <v>#N/A</v>
      </c>
      <c r="AL613" s="92" t="e">
        <v>#N/A</v>
      </c>
      <c r="AM613" s="92" t="e">
        <v>#N/A</v>
      </c>
    </row>
    <row r="614" spans="2:39">
      <c r="B614" s="122">
        <v>2149</v>
      </c>
      <c r="C614" s="132">
        <v>15006</v>
      </c>
      <c r="D614" s="122" t="s">
        <v>433</v>
      </c>
      <c r="E614" s="92" t="s">
        <v>1626</v>
      </c>
      <c r="F614" t="s">
        <v>694</v>
      </c>
      <c r="I614" s="122">
        <v>1</v>
      </c>
      <c r="J614" s="92"/>
      <c r="K614" s="122">
        <v>0</v>
      </c>
      <c r="L614" s="92"/>
      <c r="M614" s="92"/>
      <c r="N614" s="92" t="s">
        <v>646</v>
      </c>
      <c r="O614" s="92" t="s">
        <v>1789</v>
      </c>
      <c r="P614" s="92"/>
      <c r="Q614" s="92"/>
      <c r="R614" s="92"/>
      <c r="S614" s="133">
        <v>37377</v>
      </c>
      <c r="T614" s="133">
        <v>37377</v>
      </c>
      <c r="U614" s="92" t="s">
        <v>693</v>
      </c>
      <c r="V614" s="122">
        <v>1000</v>
      </c>
      <c r="W614" s="122">
        <v>14050</v>
      </c>
      <c r="X614" s="113">
        <v>1690.24</v>
      </c>
      <c r="Y614" s="122">
        <v>14056</v>
      </c>
      <c r="Z614" s="113">
        <v>1690.24</v>
      </c>
      <c r="AA614" s="113">
        <v>0</v>
      </c>
      <c r="AB614" s="113">
        <v>0</v>
      </c>
      <c r="AC614" s="122">
        <v>54260</v>
      </c>
      <c r="AD614" s="113">
        <v>0</v>
      </c>
      <c r="AE614" s="122" t="s">
        <v>433</v>
      </c>
      <c r="AF614" s="92"/>
      <c r="AG614" s="92"/>
      <c r="AH614" s="92" t="s">
        <v>2</v>
      </c>
      <c r="AI614" s="92" t="s">
        <v>1785</v>
      </c>
      <c r="AJ614" s="92" t="s">
        <v>1787</v>
      </c>
      <c r="AK614" s="92" t="s">
        <v>1779</v>
      </c>
      <c r="AL614" s="92">
        <v>0</v>
      </c>
      <c r="AM614" s="92">
        <v>0</v>
      </c>
    </row>
    <row r="615" spans="2:39">
      <c r="B615" s="122">
        <v>2149</v>
      </c>
      <c r="C615" s="132">
        <v>14849</v>
      </c>
      <c r="D615" s="122" t="s">
        <v>433</v>
      </c>
      <c r="E615" s="92" t="s">
        <v>1626</v>
      </c>
      <c r="F615" t="s">
        <v>692</v>
      </c>
      <c r="I615" s="122">
        <v>1</v>
      </c>
      <c r="J615" s="92"/>
      <c r="K615" s="122">
        <v>0</v>
      </c>
      <c r="L615" s="92"/>
      <c r="M615" s="92"/>
      <c r="N615" s="92" t="s">
        <v>1784</v>
      </c>
      <c r="O615" s="92" t="s">
        <v>1784</v>
      </c>
      <c r="P615" s="92"/>
      <c r="Q615" s="92"/>
      <c r="R615" s="92"/>
      <c r="S615" s="133">
        <v>37377</v>
      </c>
      <c r="T615" s="133">
        <v>37377</v>
      </c>
      <c r="U615" s="92"/>
      <c r="V615" s="122">
        <v>0</v>
      </c>
      <c r="W615" s="122">
        <v>15260</v>
      </c>
      <c r="X615" s="113">
        <v>109082.62</v>
      </c>
      <c r="Y615" s="122">
        <v>15266</v>
      </c>
      <c r="Z615" s="113">
        <v>0</v>
      </c>
      <c r="AA615" s="113">
        <v>109082.62</v>
      </c>
      <c r="AB615" s="113">
        <v>0</v>
      </c>
      <c r="AC615" s="122">
        <v>70264</v>
      </c>
      <c r="AD615" s="113">
        <v>0</v>
      </c>
      <c r="AE615" s="122" t="s">
        <v>663</v>
      </c>
      <c r="AF615" s="92" t="s">
        <v>665</v>
      </c>
      <c r="AG615" s="92" t="s">
        <v>1212</v>
      </c>
      <c r="AH615" s="92" t="s">
        <v>2</v>
      </c>
      <c r="AI615" s="92" t="s">
        <v>1785</v>
      </c>
      <c r="AJ615" s="92" t="s">
        <v>662</v>
      </c>
      <c r="AK615" s="92" t="e">
        <v>#N/A</v>
      </c>
      <c r="AL615" s="92" t="e">
        <v>#N/A</v>
      </c>
      <c r="AM615" s="92" t="e">
        <v>#N/A</v>
      </c>
    </row>
    <row r="616" spans="2:39">
      <c r="B616" s="122">
        <v>2149</v>
      </c>
      <c r="C616" s="132">
        <v>13063</v>
      </c>
      <c r="D616" s="122" t="s">
        <v>433</v>
      </c>
      <c r="E616" s="92" t="s">
        <v>1626</v>
      </c>
      <c r="F616" t="s">
        <v>691</v>
      </c>
      <c r="I616" s="122">
        <v>1</v>
      </c>
      <c r="J616" s="92"/>
      <c r="K616" s="122">
        <v>0</v>
      </c>
      <c r="L616" s="92"/>
      <c r="M616" s="92"/>
      <c r="N616" s="92" t="s">
        <v>1784</v>
      </c>
      <c r="O616" s="92" t="s">
        <v>1784</v>
      </c>
      <c r="P616" s="92"/>
      <c r="Q616" s="92"/>
      <c r="R616" s="92"/>
      <c r="S616" s="133">
        <v>37256</v>
      </c>
      <c r="T616" s="133">
        <v>37256</v>
      </c>
      <c r="U616" s="92"/>
      <c r="V616" s="122">
        <v>0</v>
      </c>
      <c r="W616" s="122">
        <v>15260</v>
      </c>
      <c r="X616" s="113">
        <v>-74100</v>
      </c>
      <c r="Y616" s="122">
        <v>15266</v>
      </c>
      <c r="Z616" s="113">
        <v>0</v>
      </c>
      <c r="AA616" s="113">
        <v>-74100</v>
      </c>
      <c r="AB616" s="113">
        <v>0</v>
      </c>
      <c r="AC616" s="122">
        <v>70264</v>
      </c>
      <c r="AD616" s="113">
        <v>0</v>
      </c>
      <c r="AE616" s="122" t="s">
        <v>663</v>
      </c>
      <c r="AF616" s="92" t="s">
        <v>665</v>
      </c>
      <c r="AG616" s="92" t="s">
        <v>1212</v>
      </c>
      <c r="AH616" s="92" t="s">
        <v>2</v>
      </c>
      <c r="AI616" s="92" t="s">
        <v>1785</v>
      </c>
      <c r="AJ616" s="92" t="s">
        <v>662</v>
      </c>
      <c r="AK616" s="92" t="e">
        <v>#N/A</v>
      </c>
      <c r="AL616" s="92" t="e">
        <v>#N/A</v>
      </c>
      <c r="AM616" s="92" t="e">
        <v>#N/A</v>
      </c>
    </row>
    <row r="617" spans="2:39">
      <c r="B617" s="122">
        <v>2149</v>
      </c>
      <c r="C617" s="132">
        <v>13035</v>
      </c>
      <c r="D617" s="122" t="s">
        <v>433</v>
      </c>
      <c r="E617" s="92" t="s">
        <v>1626</v>
      </c>
      <c r="F617" t="s">
        <v>690</v>
      </c>
      <c r="I617" s="122">
        <v>3</v>
      </c>
      <c r="J617" s="92"/>
      <c r="K617" s="122">
        <v>0</v>
      </c>
      <c r="L617" s="92" t="s">
        <v>685</v>
      </c>
      <c r="M617" s="92"/>
      <c r="N617" s="92" t="s">
        <v>646</v>
      </c>
      <c r="O617" s="92" t="s">
        <v>1789</v>
      </c>
      <c r="P617" s="92"/>
      <c r="Q617" s="92" t="s">
        <v>1796</v>
      </c>
      <c r="R617" s="92" t="s">
        <v>1794</v>
      </c>
      <c r="S617" s="133">
        <v>37263</v>
      </c>
      <c r="T617" s="133">
        <v>37263</v>
      </c>
      <c r="U617" s="92" t="s">
        <v>689</v>
      </c>
      <c r="V617" s="122">
        <v>1200</v>
      </c>
      <c r="W617" s="122">
        <v>14050</v>
      </c>
      <c r="X617" s="113">
        <v>8598.2999999999993</v>
      </c>
      <c r="Y617" s="122">
        <v>14056</v>
      </c>
      <c r="Z617" s="113">
        <v>8598.2999999999993</v>
      </c>
      <c r="AA617" s="113">
        <v>0</v>
      </c>
      <c r="AB617" s="113">
        <v>0</v>
      </c>
      <c r="AC617" s="122">
        <v>54260</v>
      </c>
      <c r="AD617" s="113">
        <v>0</v>
      </c>
      <c r="AE617" s="122" t="s">
        <v>433</v>
      </c>
      <c r="AF617" s="92"/>
      <c r="AG617" s="92"/>
      <c r="AH617" s="92" t="s">
        <v>2</v>
      </c>
      <c r="AI617" s="92" t="s">
        <v>1785</v>
      </c>
      <c r="AJ617" s="92" t="s">
        <v>1787</v>
      </c>
      <c r="AK617" s="92" t="s">
        <v>1779</v>
      </c>
      <c r="AL617" s="92">
        <v>0</v>
      </c>
      <c r="AM617" s="92">
        <v>0</v>
      </c>
    </row>
    <row r="618" spans="2:39">
      <c r="B618" s="122">
        <v>2149</v>
      </c>
      <c r="C618" s="132">
        <v>12690</v>
      </c>
      <c r="D618" s="122" t="s">
        <v>433</v>
      </c>
      <c r="E618" s="92" t="s">
        <v>1626</v>
      </c>
      <c r="F618" t="s">
        <v>688</v>
      </c>
      <c r="I618" s="122">
        <v>1</v>
      </c>
      <c r="J618" s="92"/>
      <c r="K618" s="122">
        <v>0</v>
      </c>
      <c r="L618" s="92"/>
      <c r="M618" s="92"/>
      <c r="N618" s="92" t="s">
        <v>1784</v>
      </c>
      <c r="O618" s="92" t="s">
        <v>1784</v>
      </c>
      <c r="P618" s="92"/>
      <c r="Q618" s="92"/>
      <c r="R618" s="92"/>
      <c r="S618" s="133">
        <v>37256</v>
      </c>
      <c r="T618" s="133">
        <v>37256</v>
      </c>
      <c r="U618" s="92"/>
      <c r="V618" s="122">
        <v>0</v>
      </c>
      <c r="W618" s="122">
        <v>15260</v>
      </c>
      <c r="X618" s="113">
        <v>300000</v>
      </c>
      <c r="Y618" s="122">
        <v>15266</v>
      </c>
      <c r="Z618" s="113">
        <v>0</v>
      </c>
      <c r="AA618" s="113">
        <v>300000</v>
      </c>
      <c r="AB618" s="113">
        <v>0</v>
      </c>
      <c r="AC618" s="122">
        <v>70264</v>
      </c>
      <c r="AD618" s="113">
        <v>0</v>
      </c>
      <c r="AE618" s="122" t="s">
        <v>663</v>
      </c>
      <c r="AF618" s="92" t="s">
        <v>665</v>
      </c>
      <c r="AG618" s="92" t="s">
        <v>1212</v>
      </c>
      <c r="AH618" s="92" t="s">
        <v>2</v>
      </c>
      <c r="AI618" s="92" t="s">
        <v>1785</v>
      </c>
      <c r="AJ618" s="92" t="s">
        <v>662</v>
      </c>
      <c r="AK618" s="92" t="e">
        <v>#N/A</v>
      </c>
      <c r="AL618" s="92" t="e">
        <v>#N/A</v>
      </c>
      <c r="AM618" s="92" t="e">
        <v>#N/A</v>
      </c>
    </row>
    <row r="619" spans="2:39">
      <c r="B619" s="122">
        <v>2149</v>
      </c>
      <c r="C619" s="132">
        <v>12320</v>
      </c>
      <c r="D619" s="122" t="s">
        <v>433</v>
      </c>
      <c r="E619" s="92" t="s">
        <v>1626</v>
      </c>
      <c r="F619" t="s">
        <v>89</v>
      </c>
      <c r="I619" s="122">
        <v>1</v>
      </c>
      <c r="J619" s="92"/>
      <c r="K619" s="122">
        <v>0</v>
      </c>
      <c r="L619" s="92"/>
      <c r="M619" s="92"/>
      <c r="N619" s="92" t="s">
        <v>1788</v>
      </c>
      <c r="O619" s="92" t="s">
        <v>1789</v>
      </c>
      <c r="P619" s="92" t="s">
        <v>683</v>
      </c>
      <c r="Q619" s="92"/>
      <c r="R619" s="92"/>
      <c r="S619" s="133">
        <v>37225</v>
      </c>
      <c r="T619" s="133">
        <v>37225</v>
      </c>
      <c r="U619" s="92"/>
      <c r="V619" s="122">
        <v>500</v>
      </c>
      <c r="W619" s="122">
        <v>14040</v>
      </c>
      <c r="X619" s="113">
        <v>21559.18</v>
      </c>
      <c r="Y619" s="122">
        <v>14046</v>
      </c>
      <c r="Z619" s="113">
        <v>21559.18</v>
      </c>
      <c r="AA619" s="113">
        <v>0</v>
      </c>
      <c r="AB619" s="113">
        <v>0</v>
      </c>
      <c r="AC619" s="122">
        <v>51260</v>
      </c>
      <c r="AD619" s="113">
        <v>0</v>
      </c>
      <c r="AE619" s="122" t="s">
        <v>433</v>
      </c>
      <c r="AF619" s="92"/>
      <c r="AG619" s="92"/>
      <c r="AH619" s="92" t="s">
        <v>2</v>
      </c>
      <c r="AI619" s="92" t="s">
        <v>1785</v>
      </c>
      <c r="AJ619" s="92" t="s">
        <v>1787</v>
      </c>
      <c r="AK619" s="92" t="e">
        <v>#N/A</v>
      </c>
      <c r="AL619" s="92" t="e">
        <v>#N/A</v>
      </c>
      <c r="AM619" s="92" t="e">
        <v>#N/A</v>
      </c>
    </row>
    <row r="620" spans="2:39">
      <c r="B620" s="122">
        <v>2149</v>
      </c>
      <c r="C620" s="132">
        <v>12167</v>
      </c>
      <c r="D620" s="122" t="s">
        <v>433</v>
      </c>
      <c r="E620" s="92" t="s">
        <v>1626</v>
      </c>
      <c r="F620" t="s">
        <v>687</v>
      </c>
      <c r="I620" s="122">
        <v>1</v>
      </c>
      <c r="J620" s="92" t="s">
        <v>613</v>
      </c>
      <c r="K620" s="122">
        <v>1999</v>
      </c>
      <c r="L620" s="92" t="s">
        <v>686</v>
      </c>
      <c r="M620" s="92" t="s">
        <v>670</v>
      </c>
      <c r="N620" s="92" t="s">
        <v>1788</v>
      </c>
      <c r="O620" s="92" t="s">
        <v>1789</v>
      </c>
      <c r="P620" s="92" t="s">
        <v>1795</v>
      </c>
      <c r="Q620" s="92"/>
      <c r="R620" s="92"/>
      <c r="S620" s="133">
        <v>37118</v>
      </c>
      <c r="T620" s="133">
        <v>37118</v>
      </c>
      <c r="U620" s="92"/>
      <c r="V620" s="122">
        <v>1000</v>
      </c>
      <c r="W620" s="122">
        <v>14040</v>
      </c>
      <c r="X620" s="113">
        <v>0</v>
      </c>
      <c r="Y620" s="122">
        <v>14046</v>
      </c>
      <c r="Z620" s="113">
        <v>0</v>
      </c>
      <c r="AA620" s="113">
        <v>0</v>
      </c>
      <c r="AB620" s="113">
        <v>0</v>
      </c>
      <c r="AC620" s="122">
        <v>51260</v>
      </c>
      <c r="AD620" s="113">
        <v>0</v>
      </c>
      <c r="AE620" s="122" t="s">
        <v>663</v>
      </c>
      <c r="AF620" s="92" t="s">
        <v>665</v>
      </c>
      <c r="AG620" s="92">
        <v>8007</v>
      </c>
      <c r="AH620" s="92" t="s">
        <v>2</v>
      </c>
      <c r="AI620" s="92" t="s">
        <v>1785</v>
      </c>
      <c r="AJ620" s="92" t="s">
        <v>1787</v>
      </c>
      <c r="AK620" s="92" t="s">
        <v>1779</v>
      </c>
      <c r="AL620" s="92">
        <v>0</v>
      </c>
      <c r="AM620" s="92">
        <v>0</v>
      </c>
    </row>
    <row r="621" spans="2:39">
      <c r="B621" s="122">
        <v>2149</v>
      </c>
      <c r="C621" s="132">
        <v>11695</v>
      </c>
      <c r="D621" s="122" t="s">
        <v>433</v>
      </c>
      <c r="E621" s="92" t="s">
        <v>1626</v>
      </c>
      <c r="F621" t="s">
        <v>684</v>
      </c>
      <c r="I621" s="122">
        <v>1</v>
      </c>
      <c r="J621" s="92"/>
      <c r="K621" s="122">
        <v>0</v>
      </c>
      <c r="L621" s="92"/>
      <c r="M621" s="92"/>
      <c r="N621" s="92" t="s">
        <v>1788</v>
      </c>
      <c r="O621" s="92" t="s">
        <v>1789</v>
      </c>
      <c r="P621" s="92" t="s">
        <v>683</v>
      </c>
      <c r="Q621" s="92"/>
      <c r="R621" s="92"/>
      <c r="S621" s="133">
        <v>37165</v>
      </c>
      <c r="T621" s="133">
        <v>37165</v>
      </c>
      <c r="U621" s="92"/>
      <c r="V621" s="122">
        <v>600</v>
      </c>
      <c r="W621" s="122">
        <v>14040</v>
      </c>
      <c r="X621" s="113">
        <v>4711.51</v>
      </c>
      <c r="Y621" s="122">
        <v>14046</v>
      </c>
      <c r="Z621" s="113">
        <v>4711.51</v>
      </c>
      <c r="AA621" s="113">
        <v>0</v>
      </c>
      <c r="AB621" s="113">
        <v>0</v>
      </c>
      <c r="AC621" s="122">
        <v>51260</v>
      </c>
      <c r="AD621" s="113">
        <v>0</v>
      </c>
      <c r="AE621" s="122" t="s">
        <v>433</v>
      </c>
      <c r="AF621" s="92"/>
      <c r="AG621" s="92"/>
      <c r="AH621" s="92" t="s">
        <v>2</v>
      </c>
      <c r="AI621" s="92" t="s">
        <v>1785</v>
      </c>
      <c r="AJ621" s="92" t="s">
        <v>1787</v>
      </c>
      <c r="AK621" s="92" t="e">
        <v>#N/A</v>
      </c>
      <c r="AL621" s="92" t="e">
        <v>#N/A</v>
      </c>
      <c r="AM621" s="92" t="e">
        <v>#N/A</v>
      </c>
    </row>
    <row r="622" spans="2:39">
      <c r="B622" s="122">
        <v>2149</v>
      </c>
      <c r="C622" s="132">
        <v>11654</v>
      </c>
      <c r="D622" s="122" t="s">
        <v>433</v>
      </c>
      <c r="E622" s="92" t="s">
        <v>1626</v>
      </c>
      <c r="F622" t="s">
        <v>682</v>
      </c>
      <c r="I622" s="122">
        <v>18</v>
      </c>
      <c r="J622" s="92"/>
      <c r="K622" s="122">
        <v>0</v>
      </c>
      <c r="L622" s="92"/>
      <c r="M622" s="92"/>
      <c r="N622" s="92" t="s">
        <v>646</v>
      </c>
      <c r="O622" s="92" t="s">
        <v>1789</v>
      </c>
      <c r="P622" s="92"/>
      <c r="Q622" s="92" t="s">
        <v>1792</v>
      </c>
      <c r="R622" s="92" t="s">
        <v>1791</v>
      </c>
      <c r="S622" s="133">
        <v>37135</v>
      </c>
      <c r="T622" s="133">
        <v>37135</v>
      </c>
      <c r="U622" s="92" t="s">
        <v>681</v>
      </c>
      <c r="V622" s="122">
        <v>700</v>
      </c>
      <c r="W622" s="122">
        <v>14050</v>
      </c>
      <c r="X622" s="113">
        <v>6210</v>
      </c>
      <c r="Y622" s="122">
        <v>14056</v>
      </c>
      <c r="Z622" s="113">
        <v>6210</v>
      </c>
      <c r="AA622" s="113">
        <v>0</v>
      </c>
      <c r="AB622" s="113">
        <v>0</v>
      </c>
      <c r="AC622" s="122">
        <v>54260</v>
      </c>
      <c r="AD622" s="113">
        <v>0</v>
      </c>
      <c r="AE622" s="122" t="s">
        <v>433</v>
      </c>
      <c r="AF622" s="92"/>
      <c r="AG622" s="92"/>
      <c r="AH622" s="92" t="s">
        <v>2</v>
      </c>
      <c r="AI622" s="92" t="s">
        <v>1785</v>
      </c>
      <c r="AJ622" s="92" t="s">
        <v>1787</v>
      </c>
      <c r="AK622" s="92" t="s">
        <v>1779</v>
      </c>
      <c r="AL622" s="92">
        <v>0</v>
      </c>
      <c r="AM622" s="92">
        <v>0</v>
      </c>
    </row>
    <row r="623" spans="2:39">
      <c r="B623" s="122">
        <v>2149</v>
      </c>
      <c r="C623" s="132">
        <v>11629</v>
      </c>
      <c r="D623" s="122" t="s">
        <v>433</v>
      </c>
      <c r="E623" s="92" t="s">
        <v>1626</v>
      </c>
      <c r="F623" t="s">
        <v>680</v>
      </c>
      <c r="I623" s="122">
        <v>1</v>
      </c>
      <c r="J623" s="92"/>
      <c r="K623" s="122">
        <v>0</v>
      </c>
      <c r="L623" s="92"/>
      <c r="M623" s="92"/>
      <c r="N623" s="92" t="s">
        <v>1784</v>
      </c>
      <c r="O623" s="92" t="s">
        <v>1784</v>
      </c>
      <c r="P623" s="92"/>
      <c r="Q623" s="92"/>
      <c r="R623" s="92"/>
      <c r="S623" s="133">
        <v>37073</v>
      </c>
      <c r="T623" s="133">
        <v>37073</v>
      </c>
      <c r="U623" s="92"/>
      <c r="V623" s="122">
        <v>0</v>
      </c>
      <c r="W623" s="122">
        <v>15260</v>
      </c>
      <c r="X623" s="113">
        <v>11500</v>
      </c>
      <c r="Y623" s="122">
        <v>15266</v>
      </c>
      <c r="Z623" s="113">
        <v>0</v>
      </c>
      <c r="AA623" s="113">
        <v>11500</v>
      </c>
      <c r="AB623" s="113">
        <v>0</v>
      </c>
      <c r="AC623" s="122">
        <v>70264</v>
      </c>
      <c r="AD623" s="113">
        <v>0</v>
      </c>
      <c r="AE623" s="122" t="s">
        <v>663</v>
      </c>
      <c r="AF623" s="92" t="s">
        <v>665</v>
      </c>
      <c r="AG623" s="92" t="s">
        <v>1212</v>
      </c>
      <c r="AH623" s="92" t="s">
        <v>2</v>
      </c>
      <c r="AI623" s="92" t="s">
        <v>1785</v>
      </c>
      <c r="AJ623" s="92" t="s">
        <v>662</v>
      </c>
      <c r="AK623" s="92" t="e">
        <v>#N/A</v>
      </c>
      <c r="AL623" s="92" t="e">
        <v>#N/A</v>
      </c>
      <c r="AM623" s="92" t="e">
        <v>#N/A</v>
      </c>
    </row>
    <row r="624" spans="2:39">
      <c r="B624" s="122">
        <v>2149</v>
      </c>
      <c r="C624" s="132">
        <v>11483</v>
      </c>
      <c r="D624" s="122" t="s">
        <v>433</v>
      </c>
      <c r="E624" s="92" t="s">
        <v>1626</v>
      </c>
      <c r="F624" t="s">
        <v>679</v>
      </c>
      <c r="I624" s="122">
        <v>1</v>
      </c>
      <c r="J624" s="92"/>
      <c r="K624" s="122">
        <v>0</v>
      </c>
      <c r="L624" s="92"/>
      <c r="M624" s="92"/>
      <c r="N624" s="92" t="s">
        <v>1784</v>
      </c>
      <c r="O624" s="92" t="s">
        <v>1784</v>
      </c>
      <c r="P624" s="92"/>
      <c r="Q624" s="92"/>
      <c r="R624" s="92"/>
      <c r="S624" s="133">
        <v>37073</v>
      </c>
      <c r="T624" s="133">
        <v>37073</v>
      </c>
      <c r="U624" s="92"/>
      <c r="V624" s="122">
        <v>0</v>
      </c>
      <c r="W624" s="122">
        <v>15260</v>
      </c>
      <c r="X624" s="113">
        <v>15880</v>
      </c>
      <c r="Y624" s="122">
        <v>15266</v>
      </c>
      <c r="Z624" s="113">
        <v>0</v>
      </c>
      <c r="AA624" s="113">
        <v>15880</v>
      </c>
      <c r="AB624" s="113">
        <v>0</v>
      </c>
      <c r="AC624" s="122">
        <v>70264</v>
      </c>
      <c r="AD624" s="113">
        <v>0</v>
      </c>
      <c r="AE624" s="122" t="s">
        <v>663</v>
      </c>
      <c r="AF624" s="92" t="s">
        <v>665</v>
      </c>
      <c r="AG624" s="92" t="s">
        <v>1212</v>
      </c>
      <c r="AH624" s="92" t="s">
        <v>2</v>
      </c>
      <c r="AI624" s="92" t="s">
        <v>1785</v>
      </c>
      <c r="AJ624" s="92" t="s">
        <v>662</v>
      </c>
      <c r="AK624" s="92" t="e">
        <v>#N/A</v>
      </c>
      <c r="AL624" s="92" t="e">
        <v>#N/A</v>
      </c>
      <c r="AM624" s="92" t="e">
        <v>#N/A</v>
      </c>
    </row>
    <row r="625" spans="2:39">
      <c r="B625" s="122">
        <v>2149</v>
      </c>
      <c r="C625" s="132">
        <v>11482</v>
      </c>
      <c r="D625" s="122" t="s">
        <v>433</v>
      </c>
      <c r="E625" s="92" t="s">
        <v>1626</v>
      </c>
      <c r="F625" t="s">
        <v>678</v>
      </c>
      <c r="I625" s="122">
        <v>11</v>
      </c>
      <c r="J625" s="92"/>
      <c r="K625" s="122">
        <v>0</v>
      </c>
      <c r="L625" s="92"/>
      <c r="M625" s="92"/>
      <c r="N625" s="92" t="s">
        <v>646</v>
      </c>
      <c r="O625" s="92" t="s">
        <v>1789</v>
      </c>
      <c r="P625" s="92"/>
      <c r="Q625" s="92" t="s">
        <v>1793</v>
      </c>
      <c r="R625" s="92" t="s">
        <v>1794</v>
      </c>
      <c r="S625" s="133">
        <v>37073</v>
      </c>
      <c r="T625" s="133">
        <v>37073</v>
      </c>
      <c r="U625" s="92"/>
      <c r="V625" s="122">
        <v>600</v>
      </c>
      <c r="W625" s="122">
        <v>14050</v>
      </c>
      <c r="X625" s="113">
        <v>9533</v>
      </c>
      <c r="Y625" s="122">
        <v>14056</v>
      </c>
      <c r="Z625" s="113">
        <v>9533</v>
      </c>
      <c r="AA625" s="113">
        <v>0</v>
      </c>
      <c r="AB625" s="113">
        <v>0</v>
      </c>
      <c r="AC625" s="122">
        <v>54260</v>
      </c>
      <c r="AD625" s="113">
        <v>0</v>
      </c>
      <c r="AE625" s="122" t="s">
        <v>663</v>
      </c>
      <c r="AF625" s="92" t="s">
        <v>665</v>
      </c>
      <c r="AG625" s="92" t="s">
        <v>1212</v>
      </c>
      <c r="AH625" s="92" t="s">
        <v>2</v>
      </c>
      <c r="AI625" s="92" t="s">
        <v>1785</v>
      </c>
      <c r="AJ625" s="92" t="s">
        <v>1787</v>
      </c>
      <c r="AK625" s="92" t="s">
        <v>1779</v>
      </c>
      <c r="AL625" s="92">
        <v>0</v>
      </c>
      <c r="AM625" s="92">
        <v>0</v>
      </c>
    </row>
    <row r="626" spans="2:39">
      <c r="B626" s="122">
        <v>2149</v>
      </c>
      <c r="C626" s="132">
        <v>11479</v>
      </c>
      <c r="D626" s="122" t="s">
        <v>433</v>
      </c>
      <c r="E626" s="92" t="s">
        <v>1626</v>
      </c>
      <c r="F626" t="s">
        <v>467</v>
      </c>
      <c r="I626" s="122">
        <v>186</v>
      </c>
      <c r="J626" s="92"/>
      <c r="K626" s="122">
        <v>0</v>
      </c>
      <c r="L626" s="92"/>
      <c r="M626" s="92"/>
      <c r="N626" s="92" t="s">
        <v>646</v>
      </c>
      <c r="O626" s="92" t="s">
        <v>1789</v>
      </c>
      <c r="P626" s="92"/>
      <c r="Q626" s="92" t="s">
        <v>1792</v>
      </c>
      <c r="R626" s="92" t="s">
        <v>1791</v>
      </c>
      <c r="S626" s="133">
        <v>37073</v>
      </c>
      <c r="T626" s="133">
        <v>37073</v>
      </c>
      <c r="U626" s="92"/>
      <c r="V626" s="122">
        <v>600</v>
      </c>
      <c r="W626" s="122">
        <v>14050</v>
      </c>
      <c r="X626" s="113">
        <v>11818.01</v>
      </c>
      <c r="Y626" s="122">
        <v>14056</v>
      </c>
      <c r="Z626" s="113">
        <v>11818.01</v>
      </c>
      <c r="AA626" s="113">
        <v>0</v>
      </c>
      <c r="AB626" s="113">
        <v>0</v>
      </c>
      <c r="AC626" s="122">
        <v>54260</v>
      </c>
      <c r="AD626" s="113">
        <v>0</v>
      </c>
      <c r="AE626" s="122" t="s">
        <v>663</v>
      </c>
      <c r="AF626" s="92" t="s">
        <v>665</v>
      </c>
      <c r="AG626" s="92" t="s">
        <v>1212</v>
      </c>
      <c r="AH626" s="92" t="s">
        <v>2</v>
      </c>
      <c r="AI626" s="92" t="s">
        <v>1785</v>
      </c>
      <c r="AJ626" s="92" t="s">
        <v>1787</v>
      </c>
      <c r="AK626" s="92" t="s">
        <v>1779</v>
      </c>
      <c r="AL626" s="92">
        <v>0</v>
      </c>
      <c r="AM626" s="92">
        <v>0</v>
      </c>
    </row>
    <row r="627" spans="2:39">
      <c r="B627" s="122">
        <v>2149</v>
      </c>
      <c r="C627" s="132">
        <v>11478</v>
      </c>
      <c r="D627" s="122" t="s">
        <v>433</v>
      </c>
      <c r="E627" s="92" t="s">
        <v>1626</v>
      </c>
      <c r="F627" t="s">
        <v>675</v>
      </c>
      <c r="I627" s="122">
        <v>30</v>
      </c>
      <c r="J627" s="92"/>
      <c r="K627" s="122">
        <v>0</v>
      </c>
      <c r="L627" s="92"/>
      <c r="M627" s="92"/>
      <c r="N627" s="92" t="s">
        <v>646</v>
      </c>
      <c r="O627" s="92" t="s">
        <v>1789</v>
      </c>
      <c r="P627" s="92"/>
      <c r="Q627" s="92" t="s">
        <v>1790</v>
      </c>
      <c r="R627" s="92" t="s">
        <v>1791</v>
      </c>
      <c r="S627" s="133">
        <v>37073</v>
      </c>
      <c r="T627" s="133">
        <v>37073</v>
      </c>
      <c r="U627" s="92"/>
      <c r="V627" s="122">
        <v>600</v>
      </c>
      <c r="W627" s="122">
        <v>14050</v>
      </c>
      <c r="X627" s="113">
        <v>1950.13</v>
      </c>
      <c r="Y627" s="122">
        <v>14056</v>
      </c>
      <c r="Z627" s="113">
        <v>1950.13</v>
      </c>
      <c r="AA627" s="113">
        <v>0</v>
      </c>
      <c r="AB627" s="113">
        <v>0</v>
      </c>
      <c r="AC627" s="122">
        <v>54260</v>
      </c>
      <c r="AD627" s="113">
        <v>0</v>
      </c>
      <c r="AE627" s="122" t="s">
        <v>663</v>
      </c>
      <c r="AF627" s="92" t="s">
        <v>665</v>
      </c>
      <c r="AG627" s="92" t="s">
        <v>1212</v>
      </c>
      <c r="AH627" s="92" t="s">
        <v>2</v>
      </c>
      <c r="AI627" s="92" t="s">
        <v>1785</v>
      </c>
      <c r="AJ627" s="92" t="s">
        <v>1787</v>
      </c>
      <c r="AK627" s="92" t="s">
        <v>1779</v>
      </c>
      <c r="AL627" s="92">
        <v>0</v>
      </c>
      <c r="AM627" s="92">
        <v>0</v>
      </c>
    </row>
    <row r="628" spans="2:39">
      <c r="B628" s="122">
        <v>2149</v>
      </c>
      <c r="C628" s="132">
        <v>11472</v>
      </c>
      <c r="D628" s="122" t="s">
        <v>433</v>
      </c>
      <c r="E628" s="92" t="s">
        <v>1626</v>
      </c>
      <c r="F628" t="s">
        <v>674</v>
      </c>
      <c r="I628" s="122">
        <v>1</v>
      </c>
      <c r="J628" s="92" t="s">
        <v>612</v>
      </c>
      <c r="K628" s="122">
        <v>1991</v>
      </c>
      <c r="L628" s="92" t="s">
        <v>673</v>
      </c>
      <c r="M628" s="92" t="s">
        <v>673</v>
      </c>
      <c r="N628" s="92" t="s">
        <v>1788</v>
      </c>
      <c r="O628" s="92" t="s">
        <v>1789</v>
      </c>
      <c r="P628" s="92" t="s">
        <v>672</v>
      </c>
      <c r="Q628" s="92"/>
      <c r="R628" s="92"/>
      <c r="S628" s="133">
        <v>37073</v>
      </c>
      <c r="T628" s="133">
        <v>37073</v>
      </c>
      <c r="U628" s="92"/>
      <c r="V628" s="122">
        <v>600</v>
      </c>
      <c r="W628" s="122">
        <v>14040</v>
      </c>
      <c r="X628" s="113">
        <v>0</v>
      </c>
      <c r="Y628" s="122">
        <v>14046</v>
      </c>
      <c r="Z628" s="113">
        <v>0</v>
      </c>
      <c r="AA628" s="113">
        <v>0</v>
      </c>
      <c r="AB628" s="113">
        <v>0</v>
      </c>
      <c r="AC628" s="122">
        <v>51260</v>
      </c>
      <c r="AD628" s="113">
        <v>0</v>
      </c>
      <c r="AE628" s="122" t="s">
        <v>663</v>
      </c>
      <c r="AF628" s="92" t="s">
        <v>665</v>
      </c>
      <c r="AG628" s="92">
        <v>8006</v>
      </c>
      <c r="AH628" s="92" t="s">
        <v>2</v>
      </c>
      <c r="AI628" s="92" t="s">
        <v>1785</v>
      </c>
      <c r="AJ628" s="92" t="s">
        <v>1787</v>
      </c>
      <c r="AK628" s="92" t="s">
        <v>1779</v>
      </c>
      <c r="AL628" s="92">
        <v>0</v>
      </c>
      <c r="AM628" s="92">
        <v>0</v>
      </c>
    </row>
    <row r="629" spans="2:39">
      <c r="B629" s="122">
        <v>2149</v>
      </c>
      <c r="C629" s="132">
        <v>11417</v>
      </c>
      <c r="D629" s="122" t="s">
        <v>433</v>
      </c>
      <c r="E629" s="92" t="s">
        <v>1626</v>
      </c>
      <c r="F629" t="s">
        <v>669</v>
      </c>
      <c r="I629" s="122">
        <v>1</v>
      </c>
      <c r="J629" s="92"/>
      <c r="K629" s="122">
        <v>0</v>
      </c>
      <c r="L629" s="92"/>
      <c r="M629" s="92"/>
      <c r="N629" s="92" t="s">
        <v>1786</v>
      </c>
      <c r="O629" s="92" t="s">
        <v>1786</v>
      </c>
      <c r="P629" s="92"/>
      <c r="Q629" s="92"/>
      <c r="R629" s="92"/>
      <c r="S629" s="133">
        <v>37073</v>
      </c>
      <c r="T629" s="133">
        <v>37073</v>
      </c>
      <c r="U629" s="92"/>
      <c r="V629" s="122">
        <v>500</v>
      </c>
      <c r="W629" s="122">
        <v>15210</v>
      </c>
      <c r="X629" s="113">
        <v>30000</v>
      </c>
      <c r="Y629" s="122">
        <v>15216</v>
      </c>
      <c r="Z629" s="113">
        <v>30000</v>
      </c>
      <c r="AA629" s="113">
        <v>0</v>
      </c>
      <c r="AB629" s="113">
        <v>0</v>
      </c>
      <c r="AC629" s="122">
        <v>70264</v>
      </c>
      <c r="AD629" s="113">
        <v>0</v>
      </c>
      <c r="AE629" s="122" t="s">
        <v>663</v>
      </c>
      <c r="AF629" s="92" t="s">
        <v>665</v>
      </c>
      <c r="AG629" s="92" t="s">
        <v>1212</v>
      </c>
      <c r="AH629" s="92" t="s">
        <v>2</v>
      </c>
      <c r="AI629" s="92" t="s">
        <v>1785</v>
      </c>
      <c r="AJ629" s="92" t="s">
        <v>1787</v>
      </c>
      <c r="AK629" s="92" t="e">
        <v>#N/A</v>
      </c>
      <c r="AL629" s="92" t="e">
        <v>#N/A</v>
      </c>
      <c r="AM629" s="92" t="e">
        <v>#N/A</v>
      </c>
    </row>
    <row r="630" spans="2:39">
      <c r="B630" s="122">
        <v>2149</v>
      </c>
      <c r="C630" s="132">
        <v>11416</v>
      </c>
      <c r="D630" s="122" t="s">
        <v>433</v>
      </c>
      <c r="E630" s="92" t="s">
        <v>1626</v>
      </c>
      <c r="F630" t="s">
        <v>668</v>
      </c>
      <c r="I630" s="122">
        <v>1</v>
      </c>
      <c r="J630" s="92"/>
      <c r="K630" s="122">
        <v>0</v>
      </c>
      <c r="L630" s="92"/>
      <c r="M630" s="92"/>
      <c r="N630" s="92" t="s">
        <v>1784</v>
      </c>
      <c r="O630" s="92" t="s">
        <v>1784</v>
      </c>
      <c r="P630" s="92"/>
      <c r="Q630" s="92"/>
      <c r="R630" s="92"/>
      <c r="S630" s="133">
        <v>37073</v>
      </c>
      <c r="T630" s="133">
        <v>37073</v>
      </c>
      <c r="U630" s="92"/>
      <c r="V630" s="122">
        <v>0</v>
      </c>
      <c r="W630" s="122">
        <v>15260</v>
      </c>
      <c r="X630" s="113">
        <v>18087.349999999999</v>
      </c>
      <c r="Y630" s="122">
        <v>15266</v>
      </c>
      <c r="Z630" s="113">
        <v>0</v>
      </c>
      <c r="AA630" s="113">
        <v>18087.349999999999</v>
      </c>
      <c r="AB630" s="113">
        <v>0</v>
      </c>
      <c r="AC630" s="122">
        <v>70264</v>
      </c>
      <c r="AD630" s="113">
        <v>0</v>
      </c>
      <c r="AE630" s="122" t="s">
        <v>663</v>
      </c>
      <c r="AF630" s="92" t="s">
        <v>665</v>
      </c>
      <c r="AG630" s="92" t="s">
        <v>1212</v>
      </c>
      <c r="AH630" s="92" t="s">
        <v>2</v>
      </c>
      <c r="AI630" s="92" t="s">
        <v>1785</v>
      </c>
      <c r="AJ630" s="92" t="s">
        <v>662</v>
      </c>
      <c r="AK630" s="92" t="e">
        <v>#N/A</v>
      </c>
      <c r="AL630" s="92" t="e">
        <v>#N/A</v>
      </c>
      <c r="AM630" s="92" t="e">
        <v>#N/A</v>
      </c>
    </row>
    <row r="631" spans="2:39">
      <c r="B631" s="122">
        <v>2149</v>
      </c>
      <c r="C631" s="132">
        <v>11415</v>
      </c>
      <c r="D631" s="122" t="s">
        <v>433</v>
      </c>
      <c r="E631" s="92" t="s">
        <v>1626</v>
      </c>
      <c r="F631" t="s">
        <v>667</v>
      </c>
      <c r="I631" s="122">
        <v>1</v>
      </c>
      <c r="J631" s="92"/>
      <c r="K631" s="122">
        <v>0</v>
      </c>
      <c r="L631" s="92"/>
      <c r="M631" s="92"/>
      <c r="N631" s="92" t="s">
        <v>1784</v>
      </c>
      <c r="O631" s="92" t="s">
        <v>1784</v>
      </c>
      <c r="P631" s="92"/>
      <c r="Q631" s="92"/>
      <c r="R631" s="92"/>
      <c r="S631" s="133">
        <v>37073</v>
      </c>
      <c r="T631" s="133">
        <v>37073</v>
      </c>
      <c r="U631" s="92"/>
      <c r="V631" s="122">
        <v>0</v>
      </c>
      <c r="W631" s="122">
        <v>15260</v>
      </c>
      <c r="X631" s="113">
        <v>-37619.61</v>
      </c>
      <c r="Y631" s="122">
        <v>15266</v>
      </c>
      <c r="Z631" s="113">
        <v>0</v>
      </c>
      <c r="AA631" s="113">
        <v>-37619.61</v>
      </c>
      <c r="AB631" s="113">
        <v>0</v>
      </c>
      <c r="AC631" s="122">
        <v>70264</v>
      </c>
      <c r="AD631" s="113">
        <v>0</v>
      </c>
      <c r="AE631" s="122" t="s">
        <v>663</v>
      </c>
      <c r="AF631" s="92" t="s">
        <v>665</v>
      </c>
      <c r="AG631" s="92" t="s">
        <v>1212</v>
      </c>
      <c r="AH631" s="92" t="s">
        <v>2</v>
      </c>
      <c r="AI631" s="92" t="s">
        <v>1785</v>
      </c>
      <c r="AJ631" s="92" t="s">
        <v>662</v>
      </c>
      <c r="AK631" s="92" t="e">
        <v>#N/A</v>
      </c>
      <c r="AL631" s="92" t="e">
        <v>#N/A</v>
      </c>
      <c r="AM631" s="92" t="e">
        <v>#N/A</v>
      </c>
    </row>
    <row r="632" spans="2:39">
      <c r="B632" s="122">
        <v>2149</v>
      </c>
      <c r="C632" s="132">
        <v>11414</v>
      </c>
      <c r="D632" s="122" t="s">
        <v>433</v>
      </c>
      <c r="E632" s="92" t="s">
        <v>1626</v>
      </c>
      <c r="F632" t="s">
        <v>666</v>
      </c>
      <c r="I632" s="122">
        <v>1</v>
      </c>
      <c r="J632" s="92"/>
      <c r="K632" s="122">
        <v>0</v>
      </c>
      <c r="L632" s="92"/>
      <c r="M632" s="92"/>
      <c r="N632" s="92" t="s">
        <v>1784</v>
      </c>
      <c r="O632" s="92" t="s">
        <v>1784</v>
      </c>
      <c r="P632" s="92"/>
      <c r="Q632" s="92"/>
      <c r="R632" s="92"/>
      <c r="S632" s="133">
        <v>37073</v>
      </c>
      <c r="T632" s="133">
        <v>37073</v>
      </c>
      <c r="U632" s="92"/>
      <c r="V632" s="122">
        <v>0</v>
      </c>
      <c r="W632" s="122">
        <v>15260</v>
      </c>
      <c r="X632" s="113">
        <v>5960838.7800000003</v>
      </c>
      <c r="Y632" s="122">
        <v>15266</v>
      </c>
      <c r="Z632" s="113">
        <v>0</v>
      </c>
      <c r="AA632" s="113">
        <v>5960838.7800000003</v>
      </c>
      <c r="AB632" s="113">
        <v>0</v>
      </c>
      <c r="AC632" s="122">
        <v>70264</v>
      </c>
      <c r="AD632" s="113">
        <v>0</v>
      </c>
      <c r="AE632" s="122" t="s">
        <v>663</v>
      </c>
      <c r="AF632" s="92" t="s">
        <v>665</v>
      </c>
      <c r="AG632" s="92" t="s">
        <v>1212</v>
      </c>
      <c r="AH632" s="92" t="s">
        <v>2</v>
      </c>
      <c r="AI632" s="92" t="s">
        <v>1785</v>
      </c>
      <c r="AJ632" s="92" t="s">
        <v>662</v>
      </c>
      <c r="AK632" s="92" t="e">
        <v>#N/A</v>
      </c>
      <c r="AL632" s="92" t="e">
        <v>#N/A</v>
      </c>
      <c r="AM632" s="92" t="e">
        <v>#N/A</v>
      </c>
    </row>
  </sheetData>
  <autoFilter ref="B16:AX632" xr:uid="{DEEC32CF-5F96-4666-A167-9EF9DCD18784}"/>
  <dataValidations count="3">
    <dataValidation type="list" allowBlank="1" showInputMessage="1" showErrorMessage="1" sqref="G14" xr:uid="{232B828F-9303-45EC-BD8D-6B8F0A43FBB9}">
      <formula1>"P,C,All"</formula1>
    </dataValidation>
    <dataValidation type="list" allowBlank="1" showInputMessage="1" showErrorMessage="1" sqref="G13" xr:uid="{ACAF2797-9C3D-4F36-B0C7-EAFBB64AE3DD}">
      <formula1>"Capitalized"</formula1>
    </dataValidation>
    <dataValidation type="list" allowBlank="1" showInputMessage="1" showErrorMessage="1" sqref="G15" xr:uid="{BAA9EFF8-DA48-4C24-A9B3-D1630F9C386E}">
      <formula1>"No, Yes"</formula1>
    </dataValidation>
  </dataValidations>
  <pageMargins left="0.7" right="0.7" top="0.75" bottom="0.75" header="0.3" footer="0.3"/>
  <pageSetup scale="10" fitToWidth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D4CF-BAAD-46F3-BE97-BEEE29140EC7}">
  <sheetPr>
    <tabColor theme="7" tint="0.79998168889431442"/>
  </sheetPr>
  <dimension ref="B6:O75"/>
  <sheetViews>
    <sheetView topLeftCell="A28" zoomScale="115" zoomScaleNormal="115" workbookViewId="0">
      <selection activeCell="M35" activeCellId="3" sqref="M15 M19:M20 M27 M35"/>
    </sheetView>
  </sheetViews>
  <sheetFormatPr defaultRowHeight="15"/>
  <cols>
    <col min="3" max="3" width="17.5703125" customWidth="1"/>
    <col min="4" max="4" width="11.5703125" bestFit="1" customWidth="1"/>
    <col min="6" max="6" width="13.140625" customWidth="1"/>
    <col min="7" max="7" width="21" customWidth="1"/>
    <col min="8" max="8" width="16.140625" customWidth="1"/>
    <col min="15" max="15" width="13.85546875" customWidth="1"/>
  </cols>
  <sheetData>
    <row r="6" spans="2:14">
      <c r="B6" t="s">
        <v>1599</v>
      </c>
    </row>
    <row r="15" spans="2:14">
      <c r="M15" s="269" t="s">
        <v>1993</v>
      </c>
      <c r="N15" t="s">
        <v>1988</v>
      </c>
    </row>
    <row r="19" spans="13:14">
      <c r="M19" s="269" t="s">
        <v>1993</v>
      </c>
      <c r="N19" t="s">
        <v>1987</v>
      </c>
    </row>
    <row r="20" spans="13:14">
      <c r="M20" s="269" t="s">
        <v>1993</v>
      </c>
      <c r="N20" t="s">
        <v>1986</v>
      </c>
    </row>
    <row r="27" spans="13:14">
      <c r="M27" s="269" t="s">
        <v>1993</v>
      </c>
      <c r="N27" t="s">
        <v>244</v>
      </c>
    </row>
    <row r="35" spans="3:15">
      <c r="M35" s="269" t="s">
        <v>1993</v>
      </c>
      <c r="N35" t="s">
        <v>1989</v>
      </c>
    </row>
    <row r="36" spans="3:15">
      <c r="N36" t="s">
        <v>1990</v>
      </c>
      <c r="O36" s="116">
        <v>38044.25</v>
      </c>
    </row>
    <row r="37" spans="3:15">
      <c r="N37" t="s">
        <v>1991</v>
      </c>
      <c r="O37" s="116">
        <v>16273.92</v>
      </c>
    </row>
    <row r="38" spans="3:15">
      <c r="N38" s="110" t="s">
        <v>25</v>
      </c>
      <c r="O38" s="273">
        <f>SUM(O36:O37)</f>
        <v>54318.17</v>
      </c>
    </row>
    <row r="43" spans="3:15" ht="30">
      <c r="D43" s="109" t="s">
        <v>8</v>
      </c>
      <c r="E43" s="109" t="s">
        <v>1601</v>
      </c>
      <c r="F43" s="115" t="s">
        <v>1583</v>
      </c>
      <c r="G43" s="115" t="s">
        <v>1602</v>
      </c>
      <c r="H43" s="115" t="s">
        <v>1582</v>
      </c>
    </row>
    <row r="44" spans="3:15">
      <c r="C44" s="112" t="s">
        <v>1600</v>
      </c>
      <c r="D44" s="114"/>
      <c r="E44">
        <v>3</v>
      </c>
      <c r="F44" s="113">
        <f>+D44/E44</f>
        <v>0</v>
      </c>
      <c r="G44" s="117">
        <f>+F44</f>
        <v>0</v>
      </c>
      <c r="H44" s="117">
        <f>+D44-G44</f>
        <v>0</v>
      </c>
    </row>
    <row r="45" spans="3:15">
      <c r="C45" s="112" t="s">
        <v>631</v>
      </c>
      <c r="D45" s="114">
        <v>194790</v>
      </c>
      <c r="E45">
        <v>10</v>
      </c>
      <c r="F45" s="113">
        <f>+D45/E45</f>
        <v>19479</v>
      </c>
      <c r="G45" s="117">
        <f>+F45</f>
        <v>19479</v>
      </c>
      <c r="H45" s="117">
        <f>+D45-G45</f>
        <v>175311</v>
      </c>
    </row>
    <row r="46" spans="3:15">
      <c r="C46" s="112" t="s">
        <v>1979</v>
      </c>
      <c r="D46" s="130">
        <f>13282+17694+54318.17</f>
        <v>85294.17</v>
      </c>
      <c r="E46">
        <v>5</v>
      </c>
      <c r="F46" s="131">
        <f>+D46/E46</f>
        <v>17058.833999999999</v>
      </c>
      <c r="G46" s="117">
        <f>+F46</f>
        <v>17058.833999999999</v>
      </c>
      <c r="H46" s="117">
        <f>+D46-G46</f>
        <v>68235.335999999996</v>
      </c>
    </row>
    <row r="47" spans="3:15">
      <c r="C47" s="112" t="s">
        <v>758</v>
      </c>
      <c r="D47" s="130"/>
      <c r="F47" s="131"/>
      <c r="G47" s="117"/>
      <c r="H47" s="117"/>
    </row>
    <row r="48" spans="3:15">
      <c r="C48" s="112" t="s">
        <v>1985</v>
      </c>
      <c r="D48" s="130">
        <v>27350</v>
      </c>
      <c r="E48">
        <v>3</v>
      </c>
      <c r="F48" s="131">
        <f>+D48/E48</f>
        <v>9116.6666666666661</v>
      </c>
      <c r="G48" s="117">
        <f>+F48</f>
        <v>9116.6666666666661</v>
      </c>
      <c r="H48" s="117">
        <f>+D48-G48</f>
        <v>18233.333333333336</v>
      </c>
    </row>
    <row r="49" spans="3:8">
      <c r="C49" s="112" t="s">
        <v>1609</v>
      </c>
      <c r="D49" s="114"/>
      <c r="E49">
        <v>7</v>
      </c>
      <c r="F49" s="113">
        <f>+D49/E49</f>
        <v>0</v>
      </c>
      <c r="G49" s="117">
        <f>+F49</f>
        <v>0</v>
      </c>
      <c r="H49" s="117">
        <f>+D49-G49</f>
        <v>0</v>
      </c>
    </row>
    <row r="50" spans="3:8">
      <c r="C50" s="112" t="s">
        <v>1610</v>
      </c>
      <c r="D50" s="114"/>
      <c r="E50">
        <v>7</v>
      </c>
      <c r="F50" s="113">
        <f t="shared" ref="F50:F52" si="0">+D50/E50</f>
        <v>0</v>
      </c>
      <c r="G50" s="117">
        <f t="shared" ref="G50:G52" si="1">+F50</f>
        <v>0</v>
      </c>
      <c r="H50" s="117">
        <f t="shared" ref="H50:H52" si="2">+D50-G50</f>
        <v>0</v>
      </c>
    </row>
    <row r="51" spans="3:8">
      <c r="C51" s="112" t="s">
        <v>1611</v>
      </c>
      <c r="D51" s="114"/>
      <c r="E51">
        <v>12</v>
      </c>
      <c r="F51" s="113">
        <f t="shared" si="0"/>
        <v>0</v>
      </c>
      <c r="G51" s="117">
        <f t="shared" si="1"/>
        <v>0</v>
      </c>
      <c r="H51" s="117">
        <f t="shared" si="2"/>
        <v>0</v>
      </c>
    </row>
    <row r="52" spans="3:8">
      <c r="C52" s="112" t="s">
        <v>1608</v>
      </c>
      <c r="D52" s="118"/>
      <c r="E52" s="119">
        <v>12</v>
      </c>
      <c r="F52" s="120">
        <f t="shared" si="0"/>
        <v>0</v>
      </c>
      <c r="G52" s="121">
        <f t="shared" si="1"/>
        <v>0</v>
      </c>
      <c r="H52" s="121">
        <f t="shared" si="2"/>
        <v>0</v>
      </c>
    </row>
    <row r="53" spans="3:8">
      <c r="D53" s="93">
        <f>+SUM(D44:D52)</f>
        <v>307434.17</v>
      </c>
      <c r="E53" s="93"/>
      <c r="F53" s="93">
        <f t="shared" ref="F53:H53" si="3">+SUM(F44:F52)</f>
        <v>45654.500666666667</v>
      </c>
      <c r="G53" s="93">
        <f t="shared" si="3"/>
        <v>45654.500666666667</v>
      </c>
      <c r="H53" s="93">
        <f t="shared" si="3"/>
        <v>261779.66933333335</v>
      </c>
    </row>
    <row r="68" spans="2:14">
      <c r="B68" t="s">
        <v>1607</v>
      </c>
    </row>
    <row r="70" spans="2:14" ht="30">
      <c r="D70" s="109" t="s">
        <v>8</v>
      </c>
      <c r="E70" s="109" t="s">
        <v>1601</v>
      </c>
      <c r="F70" s="115" t="s">
        <v>1583</v>
      </c>
      <c r="G70" s="115" t="s">
        <v>1602</v>
      </c>
      <c r="H70" s="115" t="s">
        <v>1582</v>
      </c>
    </row>
    <row r="71" spans="2:14">
      <c r="N71" t="s">
        <v>573</v>
      </c>
    </row>
    <row r="72" spans="2:14">
      <c r="N72" t="s">
        <v>574</v>
      </c>
    </row>
    <row r="73" spans="2:14">
      <c r="N73" t="s">
        <v>16</v>
      </c>
    </row>
    <row r="74" spans="2:14">
      <c r="N74" t="s">
        <v>17</v>
      </c>
    </row>
    <row r="75" spans="2:14">
      <c r="D75" s="127">
        <f>SUM(D49:D52)</f>
        <v>0</v>
      </c>
      <c r="E75" s="128"/>
      <c r="F75" s="127">
        <f>SUM(F49:F52)</f>
        <v>0</v>
      </c>
      <c r="G75" s="127">
        <f>SUM(G49:G52)</f>
        <v>0</v>
      </c>
      <c r="H75" s="127">
        <f>SUM(H49:H52)</f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>
    <tabColor theme="7" tint="0.79998168889431442"/>
  </sheetPr>
  <dimension ref="A1:AT599"/>
  <sheetViews>
    <sheetView showGridLines="0" zoomScale="85" zoomScaleNormal="85" workbookViewId="0">
      <pane ySplit="10" topLeftCell="A577" activePane="bottomLeft" state="frozen"/>
      <selection pane="bottomLeft" activeCell="O618" sqref="O618"/>
    </sheetView>
  </sheetViews>
  <sheetFormatPr defaultColWidth="12.5703125" defaultRowHeight="12"/>
  <cols>
    <col min="1" max="1" width="7.140625" style="15" customWidth="1"/>
    <col min="2" max="2" width="10.42578125" style="15" customWidth="1"/>
    <col min="3" max="3" width="9.42578125" style="15" bestFit="1" customWidth="1"/>
    <col min="4" max="4" width="5.28515625" style="15" bestFit="1" customWidth="1"/>
    <col min="5" max="5" width="35" style="15" customWidth="1"/>
    <col min="6" max="6" width="6.7109375" style="15" customWidth="1"/>
    <col min="7" max="7" width="6.140625" style="364" customWidth="1"/>
    <col min="8" max="8" width="8.5703125" style="364" customWidth="1"/>
    <col min="9" max="9" width="7.85546875" style="364" customWidth="1"/>
    <col min="10" max="10" width="6.140625" style="364" customWidth="1"/>
    <col min="11" max="11" width="8.42578125" style="15" customWidth="1"/>
    <col min="12" max="12" width="8.140625" style="15" customWidth="1"/>
    <col min="13" max="13" width="12.5703125" style="365" bestFit="1" customWidth="1"/>
    <col min="14" max="14" width="12" style="15" customWidth="1"/>
    <col min="15" max="15" width="12.28515625" style="15" customWidth="1"/>
    <col min="16" max="17" width="12.28515625" style="20" customWidth="1"/>
    <col min="18" max="18" width="1.28515625" style="15" customWidth="1"/>
    <col min="19" max="21" width="10.85546875" style="15" customWidth="1"/>
    <col min="22" max="22" width="14.5703125" style="367" bestFit="1" customWidth="1"/>
    <col min="23" max="16384" width="12.5703125" style="15"/>
  </cols>
  <sheetData>
    <row r="1" spans="1:46">
      <c r="A1" s="363" t="s">
        <v>27</v>
      </c>
      <c r="N1" s="366"/>
      <c r="O1" s="366"/>
      <c r="P1" s="19"/>
      <c r="Q1" s="19"/>
    </row>
    <row r="2" spans="1:46" ht="15">
      <c r="A2" s="363" t="s">
        <v>28</v>
      </c>
      <c r="B2" s="363"/>
      <c r="E2" s="368"/>
      <c r="N2" s="369">
        <v>3</v>
      </c>
      <c r="O2" s="370" t="s">
        <v>1560</v>
      </c>
      <c r="P2" s="43"/>
      <c r="Q2" s="43"/>
      <c r="AP2" s="15" t="s">
        <v>30</v>
      </c>
    </row>
    <row r="3" spans="1:46" ht="15.75">
      <c r="A3" s="454">
        <f>'Depr Summary'!H7</f>
        <v>45351</v>
      </c>
      <c r="B3" s="454"/>
      <c r="E3" s="22"/>
      <c r="H3" s="371"/>
      <c r="N3" s="369">
        <v>2</v>
      </c>
      <c r="O3" s="370" t="s">
        <v>1561</v>
      </c>
      <c r="P3" s="43"/>
      <c r="Q3" s="43"/>
    </row>
    <row r="4" spans="1:46" ht="15.75">
      <c r="E4" s="372"/>
      <c r="H4" s="371"/>
      <c r="N4" s="373">
        <v>2023</v>
      </c>
      <c r="O4" s="370" t="s">
        <v>455</v>
      </c>
      <c r="P4" s="43"/>
      <c r="Q4" s="43"/>
      <c r="AO4" s="15">
        <v>1</v>
      </c>
      <c r="AP4" s="15" t="s">
        <v>37</v>
      </c>
      <c r="AS4" s="15">
        <v>12</v>
      </c>
      <c r="AT4" s="15" t="s">
        <v>38</v>
      </c>
    </row>
    <row r="5" spans="1:46" ht="12" customHeight="1">
      <c r="E5" s="364"/>
      <c r="N5" s="373">
        <v>2024</v>
      </c>
      <c r="O5" s="370" t="s">
        <v>1486</v>
      </c>
      <c r="P5" s="43"/>
      <c r="Q5" s="43"/>
      <c r="AP5" s="15">
        <v>1993</v>
      </c>
      <c r="AS5" s="15">
        <v>0</v>
      </c>
      <c r="AT5" s="15" t="s">
        <v>41</v>
      </c>
    </row>
    <row r="6" spans="1:46" ht="12" customHeight="1">
      <c r="E6" s="364"/>
      <c r="N6" s="374">
        <f>+N5+(N3/12)</f>
        <v>2024.1666666666667</v>
      </c>
      <c r="O6" s="370" t="s">
        <v>1562</v>
      </c>
      <c r="AS6" s="15">
        <v>93</v>
      </c>
      <c r="AT6" s="15" t="s">
        <v>34</v>
      </c>
    </row>
    <row r="7" spans="1:46" ht="15">
      <c r="N7" s="374">
        <f>+N4+(N2/12)</f>
        <v>2023.25</v>
      </c>
      <c r="O7" s="375" t="s">
        <v>1563</v>
      </c>
      <c r="S7" s="22" t="s">
        <v>48</v>
      </c>
      <c r="T7" s="22" t="s">
        <v>49</v>
      </c>
      <c r="AS7" s="15">
        <v>94</v>
      </c>
      <c r="AT7" s="15" t="s">
        <v>46</v>
      </c>
    </row>
    <row r="8" spans="1:46">
      <c r="C8" s="22"/>
      <c r="D8" s="22" t="s">
        <v>2</v>
      </c>
      <c r="E8" s="376" t="s">
        <v>625</v>
      </c>
      <c r="F8" s="22" t="s">
        <v>51</v>
      </c>
      <c r="G8" s="22"/>
      <c r="H8" s="377" t="s">
        <v>9</v>
      </c>
      <c r="I8" s="22" t="s">
        <v>2</v>
      </c>
      <c r="J8" s="22"/>
      <c r="K8" s="22" t="s">
        <v>52</v>
      </c>
      <c r="L8" s="22" t="s">
        <v>2</v>
      </c>
      <c r="M8" s="378" t="s">
        <v>2</v>
      </c>
      <c r="N8" s="379" t="s">
        <v>2</v>
      </c>
      <c r="O8" s="379"/>
      <c r="P8" s="44"/>
      <c r="Q8" s="45" t="s">
        <v>54</v>
      </c>
      <c r="R8" s="22"/>
      <c r="S8" s="22" t="s">
        <v>56</v>
      </c>
      <c r="T8" s="22" t="s">
        <v>56</v>
      </c>
      <c r="U8" s="22" t="s">
        <v>5</v>
      </c>
    </row>
    <row r="9" spans="1:46">
      <c r="C9" s="22"/>
      <c r="D9" s="22" t="s">
        <v>59</v>
      </c>
      <c r="E9" s="379"/>
      <c r="F9" s="22" t="s">
        <v>60</v>
      </c>
      <c r="G9" s="22"/>
      <c r="H9" s="377" t="s">
        <v>61</v>
      </c>
      <c r="I9" s="22" t="s">
        <v>62</v>
      </c>
      <c r="J9" s="22" t="s">
        <v>63</v>
      </c>
      <c r="K9" s="22" t="s">
        <v>64</v>
      </c>
      <c r="L9" s="22" t="s">
        <v>452</v>
      </c>
      <c r="M9" s="378" t="s">
        <v>53</v>
      </c>
      <c r="N9" s="22" t="s">
        <v>11</v>
      </c>
      <c r="O9" s="22" t="s">
        <v>66</v>
      </c>
      <c r="P9" s="45" t="s">
        <v>454</v>
      </c>
      <c r="Q9" s="45" t="s">
        <v>52</v>
      </c>
      <c r="R9" s="22"/>
      <c r="S9" s="22" t="s">
        <v>71</v>
      </c>
      <c r="T9" s="22" t="s">
        <v>71</v>
      </c>
      <c r="U9" s="22" t="s">
        <v>7</v>
      </c>
      <c r="AO9" s="15">
        <v>2</v>
      </c>
      <c r="AP9" s="15" t="s">
        <v>75</v>
      </c>
    </row>
    <row r="10" spans="1:46">
      <c r="B10" s="380" t="s">
        <v>287</v>
      </c>
      <c r="C10" s="380" t="s">
        <v>76</v>
      </c>
      <c r="D10" s="380" t="s">
        <v>77</v>
      </c>
      <c r="E10" s="376" t="s">
        <v>78</v>
      </c>
      <c r="F10" s="380" t="s">
        <v>52</v>
      </c>
      <c r="G10" s="380" t="s">
        <v>79</v>
      </c>
      <c r="H10" s="381" t="s">
        <v>55</v>
      </c>
      <c r="I10" s="380" t="s">
        <v>81</v>
      </c>
      <c r="J10" s="380" t="s">
        <v>82</v>
      </c>
      <c r="K10" s="380" t="s">
        <v>11</v>
      </c>
      <c r="L10" s="380" t="s">
        <v>453</v>
      </c>
      <c r="M10" s="382" t="s">
        <v>8</v>
      </c>
      <c r="N10" s="380" t="s">
        <v>8</v>
      </c>
      <c r="O10" s="380" t="s">
        <v>11</v>
      </c>
      <c r="P10" s="46" t="s">
        <v>11</v>
      </c>
      <c r="Q10" s="46" t="s">
        <v>11</v>
      </c>
      <c r="R10" s="380"/>
      <c r="S10" s="383">
        <f>'Depr Summary'!F7</f>
        <v>44986</v>
      </c>
      <c r="T10" s="384">
        <f>+A3</f>
        <v>45351</v>
      </c>
      <c r="U10" s="384">
        <f>+A3</f>
        <v>45351</v>
      </c>
    </row>
    <row r="11" spans="1:46">
      <c r="C11" s="364" t="s">
        <v>84</v>
      </c>
      <c r="E11" s="385" t="s">
        <v>89</v>
      </c>
      <c r="F11" s="15">
        <v>2005</v>
      </c>
      <c r="G11" s="364">
        <v>12</v>
      </c>
      <c r="H11" s="386">
        <v>0</v>
      </c>
      <c r="I11" s="387" t="s">
        <v>86</v>
      </c>
      <c r="J11" s="364">
        <v>3</v>
      </c>
      <c r="K11" s="388">
        <f t="shared" ref="K11:K35" si="0">F11+J11</f>
        <v>2008</v>
      </c>
      <c r="L11" s="21">
        <f t="shared" ref="L11:L35" si="1">+K11+(G11/12)</f>
        <v>2009</v>
      </c>
      <c r="M11" s="20">
        <v>9887</v>
      </c>
      <c r="N11" s="19">
        <f t="shared" ref="N11:N27" si="2">M11-M11*H11</f>
        <v>9887</v>
      </c>
      <c r="O11" s="19">
        <f t="shared" ref="O11:O27" si="3">N11/J11/12</f>
        <v>274.63888888888886</v>
      </c>
      <c r="P11" s="19">
        <f t="shared" ref="P11:P27" si="4">+O11*12</f>
        <v>3295.6666666666661</v>
      </c>
      <c r="Q11" s="389">
        <f>+IF(L11&gt;$N$6,P11,0)</f>
        <v>0</v>
      </c>
      <c r="R11" s="101"/>
      <c r="S11" s="390">
        <f>+IF($L11&lt;=$N$7,$M11,IF(($F11+($G11/12))&gt;=$N$7,0,((($N11-((($L11-$N$7)*12)*$O11))))))</f>
        <v>9887</v>
      </c>
      <c r="T11" s="19">
        <f>IF(L11&lt;=$N$6,M11,Q11+S11)</f>
        <v>9887</v>
      </c>
      <c r="U11" s="19">
        <f t="shared" ref="U11" si="5">+M11-T11</f>
        <v>0</v>
      </c>
    </row>
    <row r="12" spans="1:46">
      <c r="C12" s="364" t="s">
        <v>94</v>
      </c>
      <c r="D12" s="15">
        <v>10</v>
      </c>
      <c r="E12" s="385" t="s">
        <v>95</v>
      </c>
      <c r="F12" s="15">
        <v>2007</v>
      </c>
      <c r="G12" s="364">
        <v>12</v>
      </c>
      <c r="H12" s="386">
        <v>0</v>
      </c>
      <c r="I12" s="387" t="s">
        <v>86</v>
      </c>
      <c r="J12" s="364">
        <v>7</v>
      </c>
      <c r="K12" s="388">
        <f t="shared" si="0"/>
        <v>2014</v>
      </c>
      <c r="L12" s="21">
        <f t="shared" si="1"/>
        <v>2015</v>
      </c>
      <c r="M12" s="20">
        <f>+'Depreciation - Orig.'!P14</f>
        <v>215424.24</v>
      </c>
      <c r="N12" s="19">
        <f t="shared" si="2"/>
        <v>215424.24</v>
      </c>
      <c r="O12" s="19">
        <f t="shared" si="3"/>
        <v>2564.5742857142855</v>
      </c>
      <c r="P12" s="19">
        <f t="shared" si="4"/>
        <v>30774.891428571427</v>
      </c>
      <c r="Q12" s="389">
        <f t="shared" ref="Q12:Q35" si="6">+IF(L12&gt;$N$6,P12,0)</f>
        <v>0</v>
      </c>
      <c r="R12" s="101"/>
      <c r="S12" s="390">
        <f t="shared" ref="S12:S35" si="7">+IF($L12&lt;=$N$7,$M12,IF(($F12+($G12/12))&gt;=$N$7,0,((($N12-((($L12-$N$7)*12)*$O12))))))</f>
        <v>215424.24</v>
      </c>
      <c r="T12" s="19">
        <f t="shared" ref="T12:T35" si="8">IF(L12&lt;=$N$6,M12,Q12+S12)</f>
        <v>215424.24</v>
      </c>
      <c r="U12" s="19">
        <f t="shared" ref="U12:U35" si="9">+M12-T12</f>
        <v>0</v>
      </c>
    </row>
    <row r="13" spans="1:46">
      <c r="A13" s="391"/>
      <c r="B13" s="391"/>
      <c r="C13" s="392"/>
      <c r="D13" s="391"/>
      <c r="E13" s="393" t="s">
        <v>637</v>
      </c>
      <c r="F13" s="391">
        <v>2020</v>
      </c>
      <c r="G13" s="392">
        <v>12</v>
      </c>
      <c r="H13" s="394">
        <v>0</v>
      </c>
      <c r="I13" s="395" t="s">
        <v>86</v>
      </c>
      <c r="J13" s="392">
        <v>3</v>
      </c>
      <c r="K13" s="396">
        <f t="shared" si="0"/>
        <v>2023</v>
      </c>
      <c r="L13" s="50">
        <f>+K13+(G13/12)</f>
        <v>2024</v>
      </c>
      <c r="M13" s="51">
        <f>'Depreciation - Orig.'!N14-Depreciation!M12</f>
        <v>53856.06</v>
      </c>
      <c r="N13" s="52">
        <f t="shared" si="2"/>
        <v>53856.06</v>
      </c>
      <c r="O13" s="52">
        <f t="shared" si="3"/>
        <v>1496.0016666666668</v>
      </c>
      <c r="P13" s="52">
        <f>+O13*12</f>
        <v>17952.02</v>
      </c>
      <c r="Q13" s="389">
        <f t="shared" si="6"/>
        <v>0</v>
      </c>
      <c r="R13" s="101"/>
      <c r="S13" s="390">
        <f t="shared" si="7"/>
        <v>40392.044999999998</v>
      </c>
      <c r="T13" s="19">
        <f t="shared" si="8"/>
        <v>53856.06</v>
      </c>
      <c r="U13" s="19">
        <f t="shared" si="9"/>
        <v>0</v>
      </c>
      <c r="W13" s="39"/>
      <c r="X13" s="39"/>
    </row>
    <row r="14" spans="1:46">
      <c r="B14" s="15" t="s">
        <v>398</v>
      </c>
      <c r="C14" s="364"/>
      <c r="D14" s="388">
        <v>16</v>
      </c>
      <c r="E14" s="385" t="s">
        <v>401</v>
      </c>
      <c r="F14" s="15">
        <v>2007</v>
      </c>
      <c r="G14" s="364">
        <v>11</v>
      </c>
      <c r="H14" s="386">
        <v>0</v>
      </c>
      <c r="I14" s="387" t="s">
        <v>86</v>
      </c>
      <c r="J14" s="364">
        <v>10</v>
      </c>
      <c r="K14" s="388">
        <f t="shared" si="0"/>
        <v>2017</v>
      </c>
      <c r="L14" s="21">
        <f t="shared" si="1"/>
        <v>2017.9166666666667</v>
      </c>
      <c r="M14" s="20">
        <v>861.33</v>
      </c>
      <c r="N14" s="19">
        <f t="shared" si="2"/>
        <v>861.33</v>
      </c>
      <c r="O14" s="19">
        <f t="shared" si="3"/>
        <v>7.1777500000000005</v>
      </c>
      <c r="P14" s="19">
        <f t="shared" si="4"/>
        <v>86.13300000000001</v>
      </c>
      <c r="Q14" s="389">
        <f t="shared" si="6"/>
        <v>0</v>
      </c>
      <c r="R14" s="101"/>
      <c r="S14" s="390">
        <f t="shared" si="7"/>
        <v>861.33</v>
      </c>
      <c r="T14" s="19">
        <f t="shared" si="8"/>
        <v>861.33</v>
      </c>
      <c r="U14" s="19">
        <f t="shared" si="9"/>
        <v>0</v>
      </c>
      <c r="W14" s="13"/>
      <c r="X14" s="13"/>
    </row>
    <row r="15" spans="1:46">
      <c r="B15" s="15">
        <v>174774</v>
      </c>
      <c r="C15" s="364" t="s">
        <v>331</v>
      </c>
      <c r="D15" s="388">
        <v>16</v>
      </c>
      <c r="E15" s="385" t="s">
        <v>397</v>
      </c>
      <c r="F15" s="15">
        <v>2007</v>
      </c>
      <c r="G15" s="364">
        <v>11</v>
      </c>
      <c r="H15" s="386">
        <v>0</v>
      </c>
      <c r="I15" s="387" t="s">
        <v>86</v>
      </c>
      <c r="J15" s="364">
        <v>10</v>
      </c>
      <c r="K15" s="388">
        <f t="shared" si="0"/>
        <v>2017</v>
      </c>
      <c r="L15" s="21">
        <f t="shared" si="1"/>
        <v>2017.9166666666667</v>
      </c>
      <c r="M15" s="20">
        <f>+'Depreciation - Orig.'!P16</f>
        <v>102718.6</v>
      </c>
      <c r="N15" s="19">
        <f t="shared" si="2"/>
        <v>102718.6</v>
      </c>
      <c r="O15" s="19">
        <f t="shared" si="3"/>
        <v>855.98833333333334</v>
      </c>
      <c r="P15" s="19">
        <f t="shared" si="4"/>
        <v>10271.86</v>
      </c>
      <c r="Q15" s="389">
        <f t="shared" si="6"/>
        <v>0</v>
      </c>
      <c r="R15" s="101"/>
      <c r="S15" s="390">
        <f t="shared" si="7"/>
        <v>102718.6</v>
      </c>
      <c r="T15" s="19">
        <f t="shared" si="8"/>
        <v>102718.6</v>
      </c>
      <c r="U15" s="19">
        <f t="shared" si="9"/>
        <v>0</v>
      </c>
    </row>
    <row r="16" spans="1:46">
      <c r="A16" s="391"/>
      <c r="B16" s="391"/>
      <c r="C16" s="392"/>
      <c r="D16" s="391"/>
      <c r="E16" s="393" t="s">
        <v>638</v>
      </c>
      <c r="F16" s="391">
        <v>2020</v>
      </c>
      <c r="G16" s="392">
        <v>12</v>
      </c>
      <c r="H16" s="394">
        <v>0</v>
      </c>
      <c r="I16" s="395" t="s">
        <v>86</v>
      </c>
      <c r="J16" s="392">
        <v>3</v>
      </c>
      <c r="K16" s="396">
        <f t="shared" ref="K16" si="10">F16+J16</f>
        <v>2023</v>
      </c>
      <c r="L16" s="50">
        <f>+K16+(G16/12)</f>
        <v>2024</v>
      </c>
      <c r="M16" s="51">
        <f>+'Depreciation - Orig.'!N16-Depreciation!M15</f>
        <v>25679.649999999994</v>
      </c>
      <c r="N16" s="52">
        <f t="shared" ref="N16" si="11">M16-M16*H16</f>
        <v>25679.649999999994</v>
      </c>
      <c r="O16" s="52">
        <f t="shared" ref="O16" si="12">N16/J16/12</f>
        <v>713.32361111111095</v>
      </c>
      <c r="P16" s="52">
        <f>+O16*12</f>
        <v>8559.8833333333314</v>
      </c>
      <c r="Q16" s="389">
        <f t="shared" si="6"/>
        <v>0</v>
      </c>
      <c r="R16" s="101"/>
      <c r="S16" s="390">
        <f t="shared" si="7"/>
        <v>19259.737499999996</v>
      </c>
      <c r="T16" s="19">
        <f t="shared" si="8"/>
        <v>25679.649999999994</v>
      </c>
      <c r="U16" s="19">
        <f t="shared" si="9"/>
        <v>0</v>
      </c>
      <c r="W16" s="39"/>
      <c r="X16" s="39"/>
    </row>
    <row r="17" spans="1:30">
      <c r="B17" s="15" t="s">
        <v>428</v>
      </c>
      <c r="C17" s="364" t="s">
        <v>331</v>
      </c>
      <c r="D17" s="388">
        <v>16</v>
      </c>
      <c r="E17" s="385" t="s">
        <v>429</v>
      </c>
      <c r="F17" s="15">
        <v>2008</v>
      </c>
      <c r="G17" s="364">
        <v>1</v>
      </c>
      <c r="H17" s="386">
        <v>0</v>
      </c>
      <c r="I17" s="387" t="s">
        <v>86</v>
      </c>
      <c r="J17" s="364">
        <v>9.11</v>
      </c>
      <c r="K17" s="397">
        <f t="shared" si="0"/>
        <v>2017.11</v>
      </c>
      <c r="L17" s="21">
        <f t="shared" si="1"/>
        <v>2017.1933333333332</v>
      </c>
      <c r="M17" s="20">
        <f>+'Depreciation - Orig.'!P17</f>
        <v>76906.415999999997</v>
      </c>
      <c r="N17" s="19">
        <f t="shared" ref="N17:N18" si="13">M17-M17*H17</f>
        <v>76906.415999999997</v>
      </c>
      <c r="O17" s="19">
        <f t="shared" ref="O17:O18" si="14">N17/J17/12</f>
        <v>703.49813391877058</v>
      </c>
      <c r="P17" s="19">
        <f t="shared" ref="P17" si="15">+O17*12</f>
        <v>8441.9776070252465</v>
      </c>
      <c r="Q17" s="389">
        <f t="shared" si="6"/>
        <v>0</v>
      </c>
      <c r="R17" s="101"/>
      <c r="S17" s="390">
        <f t="shared" si="7"/>
        <v>76906.415999999997</v>
      </c>
      <c r="T17" s="19">
        <f t="shared" si="8"/>
        <v>76906.415999999997</v>
      </c>
      <c r="U17" s="19">
        <f t="shared" si="9"/>
        <v>0</v>
      </c>
    </row>
    <row r="18" spans="1:30">
      <c r="A18" s="391"/>
      <c r="B18" s="391"/>
      <c r="C18" s="392"/>
      <c r="D18" s="391"/>
      <c r="E18" s="393" t="s">
        <v>638</v>
      </c>
      <c r="F18" s="391">
        <v>2020</v>
      </c>
      <c r="G18" s="392">
        <v>12</v>
      </c>
      <c r="H18" s="394">
        <v>0</v>
      </c>
      <c r="I18" s="395" t="s">
        <v>86</v>
      </c>
      <c r="J18" s="392">
        <v>3</v>
      </c>
      <c r="K18" s="396">
        <f t="shared" si="0"/>
        <v>2023</v>
      </c>
      <c r="L18" s="50">
        <f>+K18+(G18/12)</f>
        <v>2024</v>
      </c>
      <c r="M18" s="51">
        <f>+'Depreciation - Orig.'!N17-Depreciation!M17</f>
        <v>19226.604000000007</v>
      </c>
      <c r="N18" s="52">
        <f t="shared" si="13"/>
        <v>19226.604000000007</v>
      </c>
      <c r="O18" s="52">
        <f t="shared" si="14"/>
        <v>534.07233333333352</v>
      </c>
      <c r="P18" s="52">
        <f>+O18*12</f>
        <v>6408.8680000000022</v>
      </c>
      <c r="Q18" s="389">
        <f t="shared" si="6"/>
        <v>0</v>
      </c>
      <c r="R18" s="101"/>
      <c r="S18" s="390">
        <f t="shared" si="7"/>
        <v>14419.953000000005</v>
      </c>
      <c r="T18" s="19">
        <f t="shared" si="8"/>
        <v>19226.604000000007</v>
      </c>
      <c r="U18" s="19">
        <f t="shared" si="9"/>
        <v>0</v>
      </c>
      <c r="W18" s="39"/>
      <c r="X18" s="39"/>
    </row>
    <row r="19" spans="1:30">
      <c r="C19" s="364" t="s">
        <v>2</v>
      </c>
      <c r="E19" s="385" t="s">
        <v>96</v>
      </c>
      <c r="F19" s="15">
        <v>2008</v>
      </c>
      <c r="G19" s="364">
        <v>7</v>
      </c>
      <c r="H19" s="386">
        <v>0</v>
      </c>
      <c r="I19" s="387" t="s">
        <v>86</v>
      </c>
      <c r="J19" s="364">
        <v>7</v>
      </c>
      <c r="K19" s="388">
        <f t="shared" si="0"/>
        <v>2015</v>
      </c>
      <c r="L19" s="21">
        <f t="shared" si="1"/>
        <v>2015.5833333333333</v>
      </c>
      <c r="M19" s="20">
        <f>'Depreciation - Orig.'!P18</f>
        <v>3328</v>
      </c>
      <c r="N19" s="19">
        <f t="shared" si="2"/>
        <v>3328</v>
      </c>
      <c r="O19" s="19">
        <f t="shared" si="3"/>
        <v>39.61904761904762</v>
      </c>
      <c r="P19" s="19">
        <f t="shared" si="4"/>
        <v>475.42857142857144</v>
      </c>
      <c r="Q19" s="389">
        <f t="shared" si="6"/>
        <v>0</v>
      </c>
      <c r="R19" s="101"/>
      <c r="S19" s="390">
        <f t="shared" si="7"/>
        <v>3328</v>
      </c>
      <c r="T19" s="19">
        <f t="shared" si="8"/>
        <v>3328</v>
      </c>
      <c r="U19" s="19">
        <f t="shared" si="9"/>
        <v>0</v>
      </c>
    </row>
    <row r="20" spans="1:30">
      <c r="A20" s="391"/>
      <c r="B20" s="391"/>
      <c r="C20" s="392"/>
      <c r="D20" s="391"/>
      <c r="E20" s="393" t="s">
        <v>490</v>
      </c>
      <c r="F20" s="391">
        <v>2020</v>
      </c>
      <c r="G20" s="392">
        <v>12</v>
      </c>
      <c r="H20" s="394">
        <v>0</v>
      </c>
      <c r="I20" s="395" t="s">
        <v>86</v>
      </c>
      <c r="J20" s="392">
        <v>3</v>
      </c>
      <c r="K20" s="396">
        <f t="shared" ref="K20" si="16">F20+J20</f>
        <v>2023</v>
      </c>
      <c r="L20" s="50">
        <f>+K20+(G20/12)</f>
        <v>2024</v>
      </c>
      <c r="M20" s="51">
        <f>'Depreciation - Orig.'!N18-Depreciation!M19</f>
        <v>832</v>
      </c>
      <c r="N20" s="52">
        <f t="shared" ref="N20" si="17">M20-M20*H20</f>
        <v>832</v>
      </c>
      <c r="O20" s="52">
        <f t="shared" ref="O20" si="18">N20/J20/12</f>
        <v>23.111111111111111</v>
      </c>
      <c r="P20" s="52">
        <f>+O20*12</f>
        <v>277.33333333333331</v>
      </c>
      <c r="Q20" s="389">
        <f t="shared" si="6"/>
        <v>0</v>
      </c>
      <c r="R20" s="101"/>
      <c r="S20" s="390">
        <f t="shared" si="7"/>
        <v>624</v>
      </c>
      <c r="T20" s="19">
        <f t="shared" si="8"/>
        <v>832</v>
      </c>
      <c r="U20" s="19">
        <f t="shared" si="9"/>
        <v>0</v>
      </c>
      <c r="W20" s="39"/>
      <c r="X20" s="39"/>
    </row>
    <row r="21" spans="1:30">
      <c r="B21" s="15">
        <v>95491</v>
      </c>
      <c r="C21" s="364" t="s">
        <v>2</v>
      </c>
      <c r="D21" s="388"/>
      <c r="E21" s="385" t="s">
        <v>290</v>
      </c>
      <c r="F21" s="15">
        <v>2012</v>
      </c>
      <c r="G21" s="364">
        <v>7</v>
      </c>
      <c r="H21" s="386">
        <v>0</v>
      </c>
      <c r="I21" s="387" t="s">
        <v>86</v>
      </c>
      <c r="J21" s="364">
        <v>7</v>
      </c>
      <c r="K21" s="388">
        <f t="shared" si="0"/>
        <v>2019</v>
      </c>
      <c r="L21" s="21">
        <f t="shared" si="1"/>
        <v>2019.5833333333333</v>
      </c>
      <c r="M21" s="20">
        <f>'Depreciation - Orig.'!P25</f>
        <v>952</v>
      </c>
      <c r="N21" s="19">
        <f t="shared" si="2"/>
        <v>952</v>
      </c>
      <c r="O21" s="19">
        <f t="shared" si="3"/>
        <v>11.333333333333334</v>
      </c>
      <c r="P21" s="19">
        <f t="shared" si="4"/>
        <v>136</v>
      </c>
      <c r="Q21" s="389">
        <f t="shared" si="6"/>
        <v>0</v>
      </c>
      <c r="R21" s="101"/>
      <c r="S21" s="390">
        <f t="shared" si="7"/>
        <v>952</v>
      </c>
      <c r="T21" s="19">
        <f t="shared" si="8"/>
        <v>952</v>
      </c>
      <c r="U21" s="19">
        <f t="shared" si="9"/>
        <v>0</v>
      </c>
    </row>
    <row r="22" spans="1:30">
      <c r="A22" s="391"/>
      <c r="B22" s="391"/>
      <c r="C22" s="392"/>
      <c r="D22" s="391"/>
      <c r="E22" s="393" t="s">
        <v>497</v>
      </c>
      <c r="F22" s="391">
        <v>2020</v>
      </c>
      <c r="G22" s="392">
        <v>12</v>
      </c>
      <c r="H22" s="394">
        <v>0</v>
      </c>
      <c r="I22" s="395" t="s">
        <v>86</v>
      </c>
      <c r="J22" s="392">
        <v>3</v>
      </c>
      <c r="K22" s="396">
        <f t="shared" ref="K22" si="19">F22+J22</f>
        <v>2023</v>
      </c>
      <c r="L22" s="50">
        <f>+K22+(G22/12)</f>
        <v>2024</v>
      </c>
      <c r="M22" s="51">
        <f>'Depreciation - Orig.'!N25-Depreciation!M21</f>
        <v>238</v>
      </c>
      <c r="N22" s="52">
        <f>M22-M22*H22</f>
        <v>238</v>
      </c>
      <c r="O22" s="52">
        <f t="shared" ref="O22" si="20">N22/J22/12</f>
        <v>6.6111111111111107</v>
      </c>
      <c r="P22" s="52">
        <f>+O22*12</f>
        <v>79.333333333333329</v>
      </c>
      <c r="Q22" s="389">
        <f t="shared" si="6"/>
        <v>0</v>
      </c>
      <c r="R22" s="101"/>
      <c r="S22" s="390">
        <f t="shared" si="7"/>
        <v>178.5</v>
      </c>
      <c r="T22" s="19">
        <f t="shared" si="8"/>
        <v>238</v>
      </c>
      <c r="U22" s="19">
        <f t="shared" si="9"/>
        <v>0</v>
      </c>
      <c r="W22" s="39"/>
      <c r="X22" s="39"/>
    </row>
    <row r="23" spans="1:30">
      <c r="B23" s="15" t="s">
        <v>330</v>
      </c>
      <c r="C23" s="364" t="s">
        <v>331</v>
      </c>
      <c r="D23" s="388">
        <v>12</v>
      </c>
      <c r="E23" s="385" t="s">
        <v>332</v>
      </c>
      <c r="F23" s="15">
        <v>2015</v>
      </c>
      <c r="G23" s="364">
        <v>6</v>
      </c>
      <c r="H23" s="386">
        <v>0</v>
      </c>
      <c r="I23" s="387" t="s">
        <v>86</v>
      </c>
      <c r="J23" s="364">
        <v>7</v>
      </c>
      <c r="K23" s="388">
        <f t="shared" ref="K23" si="21">F23+J23</f>
        <v>2022</v>
      </c>
      <c r="L23" s="21">
        <f t="shared" ref="L23" si="22">+K23+(G23/12)</f>
        <v>2022.5</v>
      </c>
      <c r="M23" s="20">
        <v>314193.01</v>
      </c>
      <c r="N23" s="19">
        <f t="shared" ref="N23" si="23">M23-M23*H23</f>
        <v>314193.01</v>
      </c>
      <c r="O23" s="19">
        <f t="shared" ref="O23" si="24">N23/J23/12</f>
        <v>3740.3929761904765</v>
      </c>
      <c r="P23" s="19">
        <f t="shared" ref="P23" si="25">+O23*12</f>
        <v>44884.715714285718</v>
      </c>
      <c r="Q23" s="389">
        <f t="shared" si="6"/>
        <v>0</v>
      </c>
      <c r="R23" s="101"/>
      <c r="S23" s="390">
        <f t="shared" si="7"/>
        <v>314193.01</v>
      </c>
      <c r="T23" s="19">
        <f t="shared" si="8"/>
        <v>314193.01</v>
      </c>
      <c r="U23" s="19">
        <f t="shared" si="9"/>
        <v>0</v>
      </c>
    </row>
    <row r="24" spans="1:30">
      <c r="B24" s="15">
        <v>131544</v>
      </c>
      <c r="C24" s="364"/>
      <c r="D24" s="388"/>
      <c r="E24" s="385" t="s">
        <v>340</v>
      </c>
      <c r="F24" s="15">
        <v>2016</v>
      </c>
      <c r="G24" s="364">
        <v>3</v>
      </c>
      <c r="H24" s="386">
        <v>0</v>
      </c>
      <c r="I24" s="387" t="s">
        <v>86</v>
      </c>
      <c r="J24" s="364">
        <v>1</v>
      </c>
      <c r="K24" s="388">
        <f t="shared" si="0"/>
        <v>2017</v>
      </c>
      <c r="L24" s="21">
        <f t="shared" si="1"/>
        <v>2017.25</v>
      </c>
      <c r="M24" s="20">
        <f>5975.04/24*14</f>
        <v>3485.44</v>
      </c>
      <c r="N24" s="19">
        <f t="shared" si="2"/>
        <v>3485.44</v>
      </c>
      <c r="O24" s="19">
        <f t="shared" si="3"/>
        <v>290.45333333333332</v>
      </c>
      <c r="P24" s="19">
        <f t="shared" si="4"/>
        <v>3485.4399999999996</v>
      </c>
      <c r="Q24" s="389">
        <f t="shared" si="6"/>
        <v>0</v>
      </c>
      <c r="R24" s="101"/>
      <c r="S24" s="390">
        <f t="shared" si="7"/>
        <v>3485.44</v>
      </c>
      <c r="T24" s="19">
        <f t="shared" si="8"/>
        <v>3485.44</v>
      </c>
      <c r="U24" s="19">
        <f t="shared" si="9"/>
        <v>0</v>
      </c>
    </row>
    <row r="25" spans="1:30">
      <c r="B25" s="15">
        <v>165805</v>
      </c>
      <c r="C25" s="364"/>
      <c r="D25" s="388"/>
      <c r="E25" s="385" t="s">
        <v>348</v>
      </c>
      <c r="F25" s="15">
        <v>2016</v>
      </c>
      <c r="G25" s="364">
        <v>6</v>
      </c>
      <c r="H25" s="386">
        <v>0</v>
      </c>
      <c r="I25" s="387" t="s">
        <v>86</v>
      </c>
      <c r="J25" s="364">
        <v>1</v>
      </c>
      <c r="K25" s="388">
        <f t="shared" si="0"/>
        <v>2017</v>
      </c>
      <c r="L25" s="21">
        <f t="shared" si="1"/>
        <v>2017.5</v>
      </c>
      <c r="M25" s="20">
        <f>6255.46/30*20</f>
        <v>4170.3066666666664</v>
      </c>
      <c r="N25" s="19">
        <f t="shared" si="2"/>
        <v>4170.3066666666664</v>
      </c>
      <c r="O25" s="19">
        <f t="shared" si="3"/>
        <v>347.52555555555551</v>
      </c>
      <c r="P25" s="19">
        <f t="shared" si="4"/>
        <v>4170.3066666666664</v>
      </c>
      <c r="Q25" s="389">
        <f t="shared" si="6"/>
        <v>0</v>
      </c>
      <c r="R25" s="101"/>
      <c r="S25" s="390">
        <f t="shared" si="7"/>
        <v>4170.3066666666664</v>
      </c>
      <c r="T25" s="19">
        <f t="shared" si="8"/>
        <v>4170.3066666666664</v>
      </c>
      <c r="U25" s="19">
        <f t="shared" si="9"/>
        <v>0</v>
      </c>
    </row>
    <row r="26" spans="1:30">
      <c r="B26" s="15" t="s">
        <v>400</v>
      </c>
      <c r="C26" s="364"/>
      <c r="D26" s="388">
        <v>16</v>
      </c>
      <c r="E26" s="385" t="s">
        <v>399</v>
      </c>
      <c r="F26" s="15">
        <v>2016</v>
      </c>
      <c r="G26" s="364">
        <v>7</v>
      </c>
      <c r="H26" s="386">
        <v>0</v>
      </c>
      <c r="I26" s="387" t="s">
        <v>86</v>
      </c>
      <c r="J26" s="364">
        <v>10</v>
      </c>
      <c r="K26" s="388">
        <f t="shared" si="0"/>
        <v>2026</v>
      </c>
      <c r="L26" s="21">
        <f t="shared" si="1"/>
        <v>2026.5833333333333</v>
      </c>
      <c r="M26" s="20">
        <v>25528.62</v>
      </c>
      <c r="N26" s="19">
        <f t="shared" si="2"/>
        <v>25528.62</v>
      </c>
      <c r="O26" s="19">
        <f t="shared" si="3"/>
        <v>212.73850000000002</v>
      </c>
      <c r="P26" s="19">
        <f t="shared" si="4"/>
        <v>2552.8620000000001</v>
      </c>
      <c r="Q26" s="389">
        <f t="shared" si="6"/>
        <v>2552.8620000000001</v>
      </c>
      <c r="R26" s="101"/>
      <c r="S26" s="390">
        <f t="shared" si="7"/>
        <v>17019.080000000191</v>
      </c>
      <c r="T26" s="19">
        <f t="shared" si="8"/>
        <v>19571.942000000192</v>
      </c>
      <c r="U26" s="19">
        <f t="shared" si="9"/>
        <v>5956.6779999998071</v>
      </c>
    </row>
    <row r="27" spans="1:30">
      <c r="B27" s="15">
        <v>171078</v>
      </c>
      <c r="C27" s="364"/>
      <c r="D27" s="388"/>
      <c r="E27" s="385" t="s">
        <v>355</v>
      </c>
      <c r="F27" s="15">
        <v>2016</v>
      </c>
      <c r="G27" s="364">
        <v>12</v>
      </c>
      <c r="H27" s="386">
        <v>0</v>
      </c>
      <c r="I27" s="387" t="s">
        <v>86</v>
      </c>
      <c r="J27" s="364">
        <v>5</v>
      </c>
      <c r="K27" s="388">
        <f t="shared" si="0"/>
        <v>2021</v>
      </c>
      <c r="L27" s="21">
        <f t="shared" si="1"/>
        <v>2022</v>
      </c>
      <c r="M27" s="20">
        <f>22670.1/26*14</f>
        <v>12206.976923076922</v>
      </c>
      <c r="N27" s="19">
        <f t="shared" si="2"/>
        <v>12206.976923076922</v>
      </c>
      <c r="O27" s="19">
        <f t="shared" si="3"/>
        <v>203.44961538461538</v>
      </c>
      <c r="P27" s="19">
        <f t="shared" si="4"/>
        <v>2441.3953846153845</v>
      </c>
      <c r="Q27" s="389">
        <f t="shared" si="6"/>
        <v>0</v>
      </c>
      <c r="R27" s="101"/>
      <c r="S27" s="390">
        <f t="shared" si="7"/>
        <v>12206.976923076922</v>
      </c>
      <c r="T27" s="19">
        <f t="shared" si="8"/>
        <v>12206.976923076922</v>
      </c>
      <c r="U27" s="19">
        <f t="shared" si="9"/>
        <v>0</v>
      </c>
    </row>
    <row r="28" spans="1:30">
      <c r="A28" s="15">
        <v>202835</v>
      </c>
      <c r="B28" s="15">
        <v>202595</v>
      </c>
      <c r="C28" s="364"/>
      <c r="D28" s="388">
        <v>38</v>
      </c>
      <c r="E28" s="385" t="s">
        <v>474</v>
      </c>
      <c r="F28" s="15">
        <v>2018</v>
      </c>
      <c r="G28" s="364">
        <v>8</v>
      </c>
      <c r="H28" s="386">
        <v>0</v>
      </c>
      <c r="I28" s="387" t="s">
        <v>86</v>
      </c>
      <c r="J28" s="364">
        <v>5</v>
      </c>
      <c r="K28" s="388">
        <f t="shared" si="0"/>
        <v>2023</v>
      </c>
      <c r="L28" s="21">
        <f t="shared" si="1"/>
        <v>2023.6666666666667</v>
      </c>
      <c r="M28" s="20">
        <v>967.82</v>
      </c>
      <c r="N28" s="19">
        <f t="shared" ref="N28:N32" si="26">M28-M28*H28</f>
        <v>967.82</v>
      </c>
      <c r="O28" s="19">
        <f t="shared" ref="O28:O32" si="27">N28/J28/12</f>
        <v>16.130333333333336</v>
      </c>
      <c r="P28" s="19">
        <f t="shared" ref="P28:P32" si="28">+O28*12</f>
        <v>193.56400000000002</v>
      </c>
      <c r="Q28" s="389">
        <f t="shared" si="6"/>
        <v>0</v>
      </c>
      <c r="R28" s="101"/>
      <c r="S28" s="390">
        <f t="shared" si="7"/>
        <v>887.16833333331874</v>
      </c>
      <c r="T28" s="19">
        <f t="shared" si="8"/>
        <v>967.82</v>
      </c>
      <c r="U28" s="19">
        <f t="shared" si="9"/>
        <v>0</v>
      </c>
    </row>
    <row r="29" spans="1:30">
      <c r="A29" s="15">
        <v>202836</v>
      </c>
      <c r="B29" s="15">
        <v>203682</v>
      </c>
      <c r="C29" s="364"/>
      <c r="D29" s="388">
        <v>39</v>
      </c>
      <c r="E29" s="385" t="s">
        <v>475</v>
      </c>
      <c r="F29" s="15">
        <v>2018</v>
      </c>
      <c r="G29" s="364">
        <v>9</v>
      </c>
      <c r="H29" s="386">
        <v>0</v>
      </c>
      <c r="I29" s="387" t="s">
        <v>86</v>
      </c>
      <c r="J29" s="364">
        <v>10</v>
      </c>
      <c r="K29" s="388">
        <f t="shared" si="0"/>
        <v>2028</v>
      </c>
      <c r="L29" s="21">
        <f t="shared" si="1"/>
        <v>2028.75</v>
      </c>
      <c r="M29" s="20">
        <v>957</v>
      </c>
      <c r="N29" s="19">
        <f t="shared" si="26"/>
        <v>957</v>
      </c>
      <c r="O29" s="19">
        <f t="shared" si="27"/>
        <v>7.9750000000000005</v>
      </c>
      <c r="P29" s="19">
        <f t="shared" si="28"/>
        <v>95.7</v>
      </c>
      <c r="Q29" s="389">
        <f t="shared" si="6"/>
        <v>95.7</v>
      </c>
      <c r="R29" s="101"/>
      <c r="S29" s="390">
        <f t="shared" si="7"/>
        <v>430.65</v>
      </c>
      <c r="T29" s="19">
        <f t="shared" si="8"/>
        <v>526.35</v>
      </c>
      <c r="U29" s="19">
        <f t="shared" si="9"/>
        <v>430.65</v>
      </c>
    </row>
    <row r="30" spans="1:30">
      <c r="A30" s="15">
        <v>202835</v>
      </c>
      <c r="B30" s="15">
        <v>203681</v>
      </c>
      <c r="C30" s="364"/>
      <c r="D30" s="388">
        <v>38</v>
      </c>
      <c r="E30" s="385" t="s">
        <v>475</v>
      </c>
      <c r="F30" s="15">
        <v>2018</v>
      </c>
      <c r="G30" s="364">
        <v>9</v>
      </c>
      <c r="H30" s="386">
        <v>0</v>
      </c>
      <c r="I30" s="387" t="s">
        <v>86</v>
      </c>
      <c r="J30" s="364">
        <v>10</v>
      </c>
      <c r="K30" s="388">
        <f t="shared" si="0"/>
        <v>2028</v>
      </c>
      <c r="L30" s="21">
        <f t="shared" si="1"/>
        <v>2028.75</v>
      </c>
      <c r="M30" s="20">
        <v>957</v>
      </c>
      <c r="N30" s="19">
        <f t="shared" si="26"/>
        <v>957</v>
      </c>
      <c r="O30" s="19">
        <f t="shared" si="27"/>
        <v>7.9750000000000005</v>
      </c>
      <c r="P30" s="19">
        <f t="shared" si="28"/>
        <v>95.7</v>
      </c>
      <c r="Q30" s="389">
        <f t="shared" si="6"/>
        <v>95.7</v>
      </c>
      <c r="R30" s="101"/>
      <c r="S30" s="390">
        <f t="shared" si="7"/>
        <v>430.65</v>
      </c>
      <c r="T30" s="19">
        <f t="shared" si="8"/>
        <v>526.35</v>
      </c>
      <c r="U30" s="19">
        <f t="shared" si="9"/>
        <v>430.65</v>
      </c>
    </row>
    <row r="31" spans="1:30">
      <c r="A31" s="15" t="s">
        <v>433</v>
      </c>
      <c r="B31" s="15">
        <v>202836</v>
      </c>
      <c r="C31" s="364"/>
      <c r="D31" s="388">
        <v>39</v>
      </c>
      <c r="E31" s="385" t="s">
        <v>476</v>
      </c>
      <c r="F31" s="15">
        <v>2018</v>
      </c>
      <c r="G31" s="364">
        <v>9</v>
      </c>
      <c r="H31" s="386">
        <v>0</v>
      </c>
      <c r="I31" s="387" t="s">
        <v>86</v>
      </c>
      <c r="J31" s="364">
        <v>10</v>
      </c>
      <c r="K31" s="388">
        <f t="shared" si="0"/>
        <v>2028</v>
      </c>
      <c r="L31" s="21">
        <f t="shared" si="1"/>
        <v>2028.75</v>
      </c>
      <c r="M31" s="20">
        <v>338950.96</v>
      </c>
      <c r="N31" s="19">
        <f t="shared" si="26"/>
        <v>338950.96</v>
      </c>
      <c r="O31" s="19">
        <f t="shared" si="27"/>
        <v>2824.5913333333338</v>
      </c>
      <c r="P31" s="19">
        <f t="shared" si="28"/>
        <v>33895.096000000005</v>
      </c>
      <c r="Q31" s="389">
        <f t="shared" si="6"/>
        <v>33895.096000000005</v>
      </c>
      <c r="R31" s="101"/>
      <c r="S31" s="390">
        <f t="shared" si="7"/>
        <v>152527.932</v>
      </c>
      <c r="T31" s="19">
        <f t="shared" si="8"/>
        <v>186423.02799999999</v>
      </c>
      <c r="U31" s="19">
        <f t="shared" si="9"/>
        <v>152527.93200000003</v>
      </c>
      <c r="W31" s="398"/>
      <c r="Y31" s="13"/>
      <c r="Z31" s="13"/>
      <c r="AA31" s="367"/>
      <c r="AC31" s="13"/>
      <c r="AD31" s="13"/>
    </row>
    <row r="32" spans="1:30">
      <c r="A32" s="15" t="s">
        <v>433</v>
      </c>
      <c r="B32" s="15">
        <v>202835</v>
      </c>
      <c r="C32" s="364"/>
      <c r="D32" s="388">
        <v>38</v>
      </c>
      <c r="E32" s="385" t="s">
        <v>476</v>
      </c>
      <c r="F32" s="15">
        <v>2018</v>
      </c>
      <c r="G32" s="364">
        <v>9</v>
      </c>
      <c r="H32" s="386">
        <v>0</v>
      </c>
      <c r="I32" s="387" t="s">
        <v>86</v>
      </c>
      <c r="J32" s="364">
        <v>10</v>
      </c>
      <c r="K32" s="388">
        <f t="shared" si="0"/>
        <v>2028</v>
      </c>
      <c r="L32" s="21">
        <f t="shared" si="1"/>
        <v>2028.75</v>
      </c>
      <c r="M32" s="20">
        <v>338950.96</v>
      </c>
      <c r="N32" s="19">
        <f t="shared" si="26"/>
        <v>338950.96</v>
      </c>
      <c r="O32" s="19">
        <f t="shared" si="27"/>
        <v>2824.5913333333338</v>
      </c>
      <c r="P32" s="19">
        <f t="shared" si="28"/>
        <v>33895.096000000005</v>
      </c>
      <c r="Q32" s="389">
        <f t="shared" si="6"/>
        <v>33895.096000000005</v>
      </c>
      <c r="R32" s="101"/>
      <c r="S32" s="390">
        <f t="shared" si="7"/>
        <v>152527.932</v>
      </c>
      <c r="T32" s="19">
        <f t="shared" si="8"/>
        <v>186423.02799999999</v>
      </c>
      <c r="U32" s="19">
        <f t="shared" si="9"/>
        <v>152527.93200000003</v>
      </c>
      <c r="AC32" s="13"/>
    </row>
    <row r="33" spans="1:24">
      <c r="B33" s="15" t="s">
        <v>534</v>
      </c>
      <c r="C33" s="364"/>
      <c r="D33" s="388">
        <v>46</v>
      </c>
      <c r="E33" s="385" t="s">
        <v>535</v>
      </c>
      <c r="F33" s="15">
        <v>2019</v>
      </c>
      <c r="G33" s="364">
        <v>12</v>
      </c>
      <c r="H33" s="386">
        <v>0</v>
      </c>
      <c r="I33" s="387" t="s">
        <v>86</v>
      </c>
      <c r="J33" s="364">
        <v>10</v>
      </c>
      <c r="K33" s="388">
        <f t="shared" si="0"/>
        <v>2029</v>
      </c>
      <c r="L33" s="21">
        <f t="shared" si="1"/>
        <v>2030</v>
      </c>
      <c r="M33" s="20">
        <f>358392.25+1088.37</f>
        <v>359480.62</v>
      </c>
      <c r="N33" s="19">
        <f t="shared" ref="N33:N34" si="29">M33-M33*H33</f>
        <v>359480.62</v>
      </c>
      <c r="O33" s="19">
        <f t="shared" ref="O33:O34" si="30">N33/J33/12</f>
        <v>2995.6718333333333</v>
      </c>
      <c r="P33" s="19">
        <f t="shared" ref="P33:P34" si="31">+O33*12</f>
        <v>35948.061999999998</v>
      </c>
      <c r="Q33" s="389">
        <f t="shared" si="6"/>
        <v>35948.061999999998</v>
      </c>
      <c r="R33" s="101"/>
      <c r="S33" s="390">
        <f t="shared" si="7"/>
        <v>116831.2015</v>
      </c>
      <c r="T33" s="19">
        <f t="shared" si="8"/>
        <v>152779.2635</v>
      </c>
      <c r="U33" s="19">
        <f t="shared" si="9"/>
        <v>206701.35649999999</v>
      </c>
    </row>
    <row r="34" spans="1:24">
      <c r="B34" s="15" t="s">
        <v>536</v>
      </c>
      <c r="C34" s="364"/>
      <c r="D34" s="388">
        <v>45</v>
      </c>
      <c r="E34" s="385" t="s">
        <v>537</v>
      </c>
      <c r="F34" s="15">
        <v>2019</v>
      </c>
      <c r="G34" s="364">
        <v>9</v>
      </c>
      <c r="H34" s="386">
        <v>0</v>
      </c>
      <c r="I34" s="387" t="s">
        <v>86</v>
      </c>
      <c r="J34" s="364">
        <v>10</v>
      </c>
      <c r="K34" s="388">
        <f t="shared" si="0"/>
        <v>2029</v>
      </c>
      <c r="L34" s="21">
        <f t="shared" si="1"/>
        <v>2029.75</v>
      </c>
      <c r="M34" s="20">
        <f>358392.24+1251.45</f>
        <v>359643.69</v>
      </c>
      <c r="N34" s="19">
        <f t="shared" si="29"/>
        <v>359643.69</v>
      </c>
      <c r="O34" s="19">
        <f t="shared" si="30"/>
        <v>2997.0307499999999</v>
      </c>
      <c r="P34" s="19">
        <f t="shared" si="31"/>
        <v>35964.368999999999</v>
      </c>
      <c r="Q34" s="389">
        <f t="shared" si="6"/>
        <v>35964.368999999999</v>
      </c>
      <c r="R34" s="101"/>
      <c r="S34" s="390">
        <f t="shared" si="7"/>
        <v>125875.29150000002</v>
      </c>
      <c r="T34" s="19">
        <f t="shared" si="8"/>
        <v>161839.66050000003</v>
      </c>
      <c r="U34" s="19">
        <f t="shared" si="9"/>
        <v>197804.02949999998</v>
      </c>
    </row>
    <row r="35" spans="1:24">
      <c r="B35" s="15">
        <v>243665</v>
      </c>
      <c r="C35" s="22"/>
      <c r="D35" s="388">
        <v>48</v>
      </c>
      <c r="E35" s="385" t="s">
        <v>643</v>
      </c>
      <c r="F35" s="15">
        <v>2020</v>
      </c>
      <c r="G35" s="364">
        <v>12</v>
      </c>
      <c r="H35" s="386">
        <v>0</v>
      </c>
      <c r="I35" s="387" t="s">
        <v>86</v>
      </c>
      <c r="J35" s="364">
        <v>10</v>
      </c>
      <c r="K35" s="388">
        <f t="shared" si="0"/>
        <v>2030</v>
      </c>
      <c r="L35" s="21">
        <f t="shared" si="1"/>
        <v>2031</v>
      </c>
      <c r="M35" s="20">
        <v>365317.55</v>
      </c>
      <c r="N35" s="19">
        <f t="shared" ref="N35" si="32">M35-M35*H35</f>
        <v>365317.55</v>
      </c>
      <c r="O35" s="19">
        <f t="shared" ref="O35" si="33">N35/J35/12</f>
        <v>3044.3129166666663</v>
      </c>
      <c r="P35" s="19">
        <f t="shared" ref="P35" si="34">+O35*12</f>
        <v>36531.754999999997</v>
      </c>
      <c r="Q35" s="389">
        <f t="shared" si="6"/>
        <v>36531.754999999997</v>
      </c>
      <c r="R35" s="101"/>
      <c r="S35" s="390">
        <f t="shared" si="7"/>
        <v>82196.44875000004</v>
      </c>
      <c r="T35" s="19">
        <f t="shared" si="8"/>
        <v>118728.20375000004</v>
      </c>
      <c r="U35" s="19">
        <f t="shared" si="9"/>
        <v>246589.34624999994</v>
      </c>
    </row>
    <row r="36" spans="1:24" ht="11.25" customHeight="1">
      <c r="A36" s="399"/>
      <c r="B36" s="400"/>
      <c r="C36" s="364"/>
      <c r="D36" s="388"/>
      <c r="E36" s="3"/>
      <c r="H36" s="386"/>
      <c r="I36" s="387"/>
      <c r="K36" s="388"/>
      <c r="L36" s="21"/>
      <c r="M36" s="25"/>
      <c r="N36" s="19"/>
      <c r="O36" s="19"/>
      <c r="P36" s="19"/>
      <c r="Q36" s="19"/>
      <c r="R36" s="19"/>
      <c r="S36" s="19"/>
      <c r="T36" s="19"/>
      <c r="U36" s="19"/>
    </row>
    <row r="37" spans="1:24" s="16" customFormat="1">
      <c r="C37" s="22"/>
      <c r="D37" s="401"/>
      <c r="E37" s="402" t="s">
        <v>627</v>
      </c>
      <c r="F37" s="403"/>
      <c r="G37" s="404"/>
      <c r="H37" s="404"/>
      <c r="I37" s="404"/>
      <c r="J37" s="405"/>
      <c r="K37" s="403"/>
      <c r="L37" s="406"/>
      <c r="M37" s="18">
        <f t="shared" ref="M37:U37" si="35">SUM(M11:M36)</f>
        <v>2634719.8535897429</v>
      </c>
      <c r="N37" s="18">
        <f t="shared" si="35"/>
        <v>2634719.8535897429</v>
      </c>
      <c r="O37" s="18">
        <f t="shared" si="35"/>
        <v>26742.788086604971</v>
      </c>
      <c r="P37" s="18">
        <f t="shared" si="35"/>
        <v>320913.45703925967</v>
      </c>
      <c r="Q37" s="18">
        <f t="shared" si="35"/>
        <v>178978.64</v>
      </c>
      <c r="R37" s="18">
        <f t="shared" si="35"/>
        <v>0</v>
      </c>
      <c r="S37" s="18">
        <f t="shared" si="35"/>
        <v>1467733.909173077</v>
      </c>
      <c r="T37" s="18">
        <f t="shared" si="35"/>
        <v>1671751.2793397433</v>
      </c>
      <c r="U37" s="18">
        <f t="shared" si="35"/>
        <v>962968.57424999971</v>
      </c>
      <c r="V37" s="407"/>
    </row>
    <row r="38" spans="1:24" s="16" customFormat="1">
      <c r="C38" s="22"/>
      <c r="D38" s="401"/>
      <c r="E38" s="363"/>
      <c r="F38" s="408"/>
      <c r="G38" s="409"/>
      <c r="H38" s="409"/>
      <c r="I38" s="409"/>
      <c r="J38" s="22"/>
      <c r="K38" s="408"/>
      <c r="M38" s="28"/>
      <c r="N38" s="28"/>
      <c r="O38" s="28"/>
      <c r="P38" s="28"/>
      <c r="Q38" s="28"/>
      <c r="R38" s="28"/>
      <c r="S38" s="28"/>
      <c r="T38" s="28"/>
      <c r="U38" s="28"/>
      <c r="V38" s="407"/>
    </row>
    <row r="39" spans="1:24" s="16" customFormat="1">
      <c r="C39" s="22"/>
      <c r="D39" s="401"/>
      <c r="E39" s="363"/>
      <c r="F39" s="408"/>
      <c r="G39" s="409"/>
      <c r="H39" s="409"/>
      <c r="I39" s="409"/>
      <c r="J39" s="22"/>
      <c r="K39" s="408"/>
      <c r="M39" s="28"/>
      <c r="N39" s="28"/>
      <c r="O39" s="28"/>
      <c r="P39" s="28"/>
      <c r="Q39" s="28"/>
      <c r="R39" s="28"/>
      <c r="S39" s="28"/>
      <c r="T39" s="28"/>
      <c r="U39" s="28"/>
      <c r="V39" s="407"/>
    </row>
    <row r="40" spans="1:24" s="16" customFormat="1">
      <c r="C40" s="22"/>
      <c r="D40" s="401"/>
      <c r="E40" s="410" t="s">
        <v>626</v>
      </c>
      <c r="F40" s="408"/>
      <c r="G40" s="409"/>
      <c r="H40" s="409"/>
      <c r="I40" s="409"/>
      <c r="J40" s="22"/>
      <c r="K40" s="408"/>
      <c r="M40" s="401"/>
      <c r="N40" s="411"/>
      <c r="O40" s="411"/>
      <c r="P40" s="28"/>
      <c r="Q40" s="28"/>
      <c r="R40" s="411"/>
      <c r="S40" s="411"/>
      <c r="T40" s="411"/>
      <c r="U40" s="411"/>
      <c r="V40" s="407"/>
    </row>
    <row r="41" spans="1:24">
      <c r="C41" s="364" t="s">
        <v>88</v>
      </c>
      <c r="D41" s="15">
        <v>23</v>
      </c>
      <c r="E41" s="385" t="s">
        <v>93</v>
      </c>
      <c r="F41" s="15">
        <v>2007</v>
      </c>
      <c r="G41" s="364">
        <v>8</v>
      </c>
      <c r="H41" s="386">
        <v>0</v>
      </c>
      <c r="I41" s="387" t="s">
        <v>86</v>
      </c>
      <c r="J41" s="364">
        <v>7</v>
      </c>
      <c r="K41" s="388">
        <f>F41+J41</f>
        <v>2014</v>
      </c>
      <c r="L41" s="21">
        <f t="shared" ref="L41:L46" si="36">+K41+(G41/12)</f>
        <v>2014.6666666666667</v>
      </c>
      <c r="M41" s="20">
        <f>+'Depreciation - Orig.'!P91</f>
        <v>123568.79199999999</v>
      </c>
      <c r="N41" s="19">
        <f t="shared" ref="N41:N46" si="37">M41-M41*H41</f>
        <v>123568.79199999999</v>
      </c>
      <c r="O41" s="19">
        <f>N41/J41/12</f>
        <v>1471.0570476190476</v>
      </c>
      <c r="P41" s="19">
        <f t="shared" ref="P41:P46" si="38">+O41*12</f>
        <v>17652.68457142857</v>
      </c>
      <c r="Q41" s="389">
        <f t="shared" ref="Q41:Q46" si="39">+IF(L41&gt;$N$6,P41,0)</f>
        <v>0</v>
      </c>
      <c r="R41" s="101"/>
      <c r="S41" s="390">
        <f t="shared" ref="S41:S46" si="40">+IF($L41&lt;=$N$7,$M41,IF(($F41+($G41/12))&gt;=$N$7,0,((($N41-((($L41-$N$7)*12)*$O41))))))</f>
        <v>123568.79199999999</v>
      </c>
      <c r="T41" s="19">
        <f t="shared" ref="T41:T46" si="41">IF(L41&lt;=$N$6,M41,Q41+S41)</f>
        <v>123568.79199999999</v>
      </c>
      <c r="U41" s="19">
        <f t="shared" ref="U41:U46" si="42">+M41-T41</f>
        <v>0</v>
      </c>
    </row>
    <row r="42" spans="1:24">
      <c r="A42" s="391"/>
      <c r="B42" s="391"/>
      <c r="C42" s="392"/>
      <c r="D42" s="391"/>
      <c r="E42" s="393" t="s">
        <v>639</v>
      </c>
      <c r="F42" s="391">
        <v>2020</v>
      </c>
      <c r="G42" s="392">
        <v>12</v>
      </c>
      <c r="H42" s="394">
        <v>0</v>
      </c>
      <c r="I42" s="395" t="s">
        <v>86</v>
      </c>
      <c r="J42" s="392">
        <v>3</v>
      </c>
      <c r="K42" s="396">
        <f t="shared" ref="K42" si="43">F42+J42</f>
        <v>2023</v>
      </c>
      <c r="L42" s="50">
        <f t="shared" si="36"/>
        <v>2024</v>
      </c>
      <c r="M42" s="51">
        <f>+'Depreciation - Orig.'!N91-Depreciation!M41</f>
        <v>30892.198000000004</v>
      </c>
      <c r="N42" s="52">
        <f t="shared" si="37"/>
        <v>30892.198000000004</v>
      </c>
      <c r="O42" s="52">
        <f t="shared" ref="O42" si="44">N42/J42/12</f>
        <v>858.11661111111118</v>
      </c>
      <c r="P42" s="52">
        <f t="shared" si="38"/>
        <v>10297.399333333335</v>
      </c>
      <c r="Q42" s="389">
        <f t="shared" si="39"/>
        <v>0</v>
      </c>
      <c r="R42" s="101"/>
      <c r="S42" s="390">
        <f t="shared" si="40"/>
        <v>23169.148500000003</v>
      </c>
      <c r="T42" s="19">
        <f t="shared" si="41"/>
        <v>30892.198000000004</v>
      </c>
      <c r="U42" s="19">
        <f t="shared" si="42"/>
        <v>0</v>
      </c>
      <c r="W42" s="39"/>
      <c r="X42" s="39"/>
    </row>
    <row r="43" spans="1:24">
      <c r="B43" s="15">
        <v>117318</v>
      </c>
      <c r="C43" s="364" t="s">
        <v>318</v>
      </c>
      <c r="D43" s="388">
        <v>30</v>
      </c>
      <c r="E43" s="385" t="s">
        <v>319</v>
      </c>
      <c r="F43" s="15">
        <v>2014</v>
      </c>
      <c r="G43" s="364">
        <v>11</v>
      </c>
      <c r="H43" s="386">
        <v>0</v>
      </c>
      <c r="I43" s="387" t="s">
        <v>86</v>
      </c>
      <c r="J43" s="364">
        <v>7</v>
      </c>
      <c r="K43" s="388">
        <f>F43+J43</f>
        <v>2021</v>
      </c>
      <c r="L43" s="21">
        <f t="shared" si="36"/>
        <v>2021.9166666666667</v>
      </c>
      <c r="M43" s="20">
        <v>207432.32000000001</v>
      </c>
      <c r="N43" s="19">
        <f t="shared" si="37"/>
        <v>207432.32000000001</v>
      </c>
      <c r="O43" s="19">
        <f>N43/J43/12</f>
        <v>2469.4323809523808</v>
      </c>
      <c r="P43" s="19">
        <f t="shared" si="38"/>
        <v>29633.188571428567</v>
      </c>
      <c r="Q43" s="389">
        <f t="shared" si="39"/>
        <v>0</v>
      </c>
      <c r="R43" s="101"/>
      <c r="S43" s="390">
        <f t="shared" si="40"/>
        <v>207432.32000000001</v>
      </c>
      <c r="T43" s="19">
        <f t="shared" si="41"/>
        <v>207432.32000000001</v>
      </c>
      <c r="U43" s="19">
        <f t="shared" si="42"/>
        <v>0</v>
      </c>
    </row>
    <row r="44" spans="1:24">
      <c r="B44" s="15" t="s">
        <v>451</v>
      </c>
      <c r="C44" s="364" t="s">
        <v>318</v>
      </c>
      <c r="D44" s="388">
        <v>22</v>
      </c>
      <c r="E44" s="385" t="s">
        <v>396</v>
      </c>
      <c r="F44" s="15">
        <v>2017</v>
      </c>
      <c r="G44" s="364">
        <v>5</v>
      </c>
      <c r="H44" s="386">
        <v>0</v>
      </c>
      <c r="I44" s="387" t="s">
        <v>86</v>
      </c>
      <c r="J44" s="364">
        <v>10</v>
      </c>
      <c r="K44" s="388">
        <f>F44+J44</f>
        <v>2027</v>
      </c>
      <c r="L44" s="21">
        <f t="shared" si="36"/>
        <v>2027.4166666666667</v>
      </c>
      <c r="M44" s="20">
        <f>213770.91+1490.08+8033.71</f>
        <v>223294.69999999998</v>
      </c>
      <c r="N44" s="19">
        <f t="shared" si="37"/>
        <v>223294.69999999998</v>
      </c>
      <c r="O44" s="19">
        <f>N44/J44/12</f>
        <v>1860.7891666666665</v>
      </c>
      <c r="P44" s="19">
        <f t="shared" si="38"/>
        <v>22329.469999999998</v>
      </c>
      <c r="Q44" s="389">
        <f t="shared" si="39"/>
        <v>22329.469999999998</v>
      </c>
      <c r="R44" s="101"/>
      <c r="S44" s="390">
        <f t="shared" si="40"/>
        <v>130255.24166666497</v>
      </c>
      <c r="T44" s="19">
        <f t="shared" si="41"/>
        <v>152584.71166666495</v>
      </c>
      <c r="U44" s="19">
        <f t="shared" si="42"/>
        <v>70709.98833333503</v>
      </c>
    </row>
    <row r="45" spans="1:24">
      <c r="B45" s="15">
        <v>236165</v>
      </c>
      <c r="C45" s="364"/>
      <c r="D45" s="388">
        <v>21</v>
      </c>
      <c r="E45" s="385" t="s">
        <v>550</v>
      </c>
      <c r="F45" s="15">
        <v>2020</v>
      </c>
      <c r="G45" s="364">
        <v>8</v>
      </c>
      <c r="H45" s="386">
        <v>0</v>
      </c>
      <c r="I45" s="387" t="s">
        <v>86</v>
      </c>
      <c r="J45" s="364">
        <v>10</v>
      </c>
      <c r="K45" s="388">
        <f>F45+J45</f>
        <v>2030</v>
      </c>
      <c r="L45" s="21">
        <f t="shared" si="36"/>
        <v>2030.6666666666667</v>
      </c>
      <c r="M45" s="20">
        <v>237305.77</v>
      </c>
      <c r="N45" s="19">
        <f t="shared" si="37"/>
        <v>237305.77</v>
      </c>
      <c r="O45" s="19">
        <f>N45/J45/12</f>
        <v>1977.5480833333331</v>
      </c>
      <c r="P45" s="19">
        <f t="shared" si="38"/>
        <v>23730.576999999997</v>
      </c>
      <c r="Q45" s="389">
        <f t="shared" si="39"/>
        <v>23730.576999999997</v>
      </c>
      <c r="R45" s="101"/>
      <c r="S45" s="390">
        <f t="shared" si="40"/>
        <v>61303.990583331557</v>
      </c>
      <c r="T45" s="19">
        <f t="shared" si="41"/>
        <v>85034.567583331547</v>
      </c>
      <c r="U45" s="19">
        <f t="shared" si="42"/>
        <v>152271.20241666844</v>
      </c>
    </row>
    <row r="46" spans="1:24">
      <c r="B46" s="15" t="s">
        <v>563</v>
      </c>
      <c r="C46" s="364"/>
      <c r="D46" s="388">
        <v>21</v>
      </c>
      <c r="E46" s="385" t="s">
        <v>564</v>
      </c>
      <c r="F46" s="15">
        <v>2020</v>
      </c>
      <c r="G46" s="364">
        <v>8</v>
      </c>
      <c r="H46" s="386">
        <v>0</v>
      </c>
      <c r="I46" s="387" t="s">
        <v>86</v>
      </c>
      <c r="J46" s="364">
        <v>5</v>
      </c>
      <c r="K46" s="388">
        <f>F46+J46</f>
        <v>2025</v>
      </c>
      <c r="L46" s="21">
        <f t="shared" si="36"/>
        <v>2025.6666666666667</v>
      </c>
      <c r="M46" s="20">
        <v>706.71</v>
      </c>
      <c r="N46" s="19">
        <f t="shared" si="37"/>
        <v>706.71</v>
      </c>
      <c r="O46" s="19">
        <f>N46/J46/12</f>
        <v>11.778500000000001</v>
      </c>
      <c r="P46" s="19">
        <f t="shared" si="38"/>
        <v>141.34200000000001</v>
      </c>
      <c r="Q46" s="389">
        <f t="shared" si="39"/>
        <v>141.34200000000001</v>
      </c>
      <c r="R46" s="101"/>
      <c r="S46" s="390">
        <f t="shared" si="40"/>
        <v>365.13349999998928</v>
      </c>
      <c r="T46" s="19">
        <f t="shared" si="41"/>
        <v>506.47549999998932</v>
      </c>
      <c r="U46" s="19">
        <f t="shared" si="42"/>
        <v>200.23450000001071</v>
      </c>
    </row>
    <row r="47" spans="1:24">
      <c r="C47" s="364"/>
      <c r="D47" s="364"/>
      <c r="E47" s="385"/>
      <c r="H47" s="386"/>
      <c r="I47" s="387"/>
      <c r="K47" s="388"/>
      <c r="M47" s="20"/>
      <c r="N47" s="19"/>
      <c r="O47" s="19"/>
      <c r="P47" s="19"/>
      <c r="Q47" s="19"/>
      <c r="R47" s="19"/>
      <c r="S47" s="19"/>
      <c r="T47" s="19"/>
      <c r="U47" s="19"/>
    </row>
    <row r="48" spans="1:24">
      <c r="C48" s="364"/>
      <c r="E48" s="412" t="s">
        <v>628</v>
      </c>
      <c r="F48" s="413"/>
      <c r="G48" s="414"/>
      <c r="H48" s="415"/>
      <c r="I48" s="416"/>
      <c r="J48" s="414"/>
      <c r="K48" s="417"/>
      <c r="L48" s="413"/>
      <c r="M48" s="27">
        <f>SUM(M41:M47)</f>
        <v>823200.49</v>
      </c>
      <c r="N48" s="27">
        <f t="shared" ref="N48:U48" si="45">SUM(N41:N47)</f>
        <v>823200.49</v>
      </c>
      <c r="O48" s="27">
        <f t="shared" si="45"/>
        <v>8648.7217896825387</v>
      </c>
      <c r="P48" s="27">
        <f t="shared" si="45"/>
        <v>103784.66147619046</v>
      </c>
      <c r="Q48" s="27">
        <f t="shared" si="45"/>
        <v>46201.388999999988</v>
      </c>
      <c r="R48" s="27">
        <f t="shared" si="45"/>
        <v>0</v>
      </c>
      <c r="S48" s="27">
        <f t="shared" si="45"/>
        <v>546094.62624999648</v>
      </c>
      <c r="T48" s="27">
        <f t="shared" si="45"/>
        <v>600019.06474999641</v>
      </c>
      <c r="U48" s="27">
        <f t="shared" si="45"/>
        <v>223181.42525000349</v>
      </c>
    </row>
    <row r="49" spans="1:24" s="16" customFormat="1">
      <c r="C49" s="22"/>
      <c r="D49" s="401"/>
      <c r="E49" s="411"/>
      <c r="F49" s="408"/>
      <c r="G49" s="409"/>
      <c r="H49" s="409"/>
      <c r="I49" s="409"/>
      <c r="J49" s="22"/>
      <c r="K49" s="408"/>
      <c r="M49" s="401"/>
      <c r="N49" s="411"/>
      <c r="O49" s="411"/>
      <c r="P49" s="28"/>
      <c r="Q49" s="28"/>
      <c r="R49" s="411"/>
      <c r="S49" s="411"/>
      <c r="T49" s="411"/>
      <c r="U49" s="411"/>
      <c r="V49" s="407"/>
    </row>
    <row r="50" spans="1:24" s="16" customFormat="1">
      <c r="C50" s="22"/>
      <c r="D50" s="401"/>
      <c r="E50" s="410" t="s">
        <v>12</v>
      </c>
      <c r="F50" s="408"/>
      <c r="G50" s="409"/>
      <c r="H50" s="409"/>
      <c r="I50" s="409"/>
      <c r="J50" s="22"/>
      <c r="K50" s="408"/>
      <c r="M50" s="401"/>
      <c r="N50" s="411"/>
      <c r="O50" s="411"/>
      <c r="P50" s="28"/>
      <c r="Q50" s="28"/>
      <c r="R50" s="411"/>
      <c r="S50" s="411"/>
      <c r="T50" s="411"/>
      <c r="U50" s="411"/>
      <c r="V50" s="407"/>
    </row>
    <row r="51" spans="1:24">
      <c r="C51" s="364" t="s">
        <v>109</v>
      </c>
      <c r="D51" s="15">
        <v>25</v>
      </c>
      <c r="E51" s="418" t="s">
        <v>110</v>
      </c>
      <c r="F51" s="15">
        <v>2004</v>
      </c>
      <c r="G51" s="364">
        <v>2</v>
      </c>
      <c r="H51" s="386">
        <v>0</v>
      </c>
      <c r="I51" s="387" t="s">
        <v>86</v>
      </c>
      <c r="J51" s="364">
        <v>7</v>
      </c>
      <c r="K51" s="388">
        <f t="shared" ref="K51:K66" si="46">F51+J51</f>
        <v>2011</v>
      </c>
      <c r="L51" s="21">
        <f t="shared" ref="L51:L66" si="47">+K51+(G51/12)</f>
        <v>2011.1666666666667</v>
      </c>
      <c r="M51" s="20">
        <f>'Depreciation - Orig.'!P40</f>
        <v>114019.2</v>
      </c>
      <c r="N51" s="19">
        <f t="shared" ref="N51:N66" si="48">M51-M51*H51</f>
        <v>114019.2</v>
      </c>
      <c r="O51" s="19">
        <f t="shared" ref="O51:O66" si="49">N51/J51/12</f>
        <v>1357.3714285714284</v>
      </c>
      <c r="P51" s="19">
        <f t="shared" ref="P51:P66" si="50">+O51*12</f>
        <v>16288.45714285714</v>
      </c>
      <c r="Q51" s="419">
        <f t="shared" ref="Q51:Q66" si="51">+IF(L51&gt;$N$6,P51,0)</f>
        <v>0</v>
      </c>
      <c r="R51" s="101"/>
      <c r="S51" s="390">
        <f t="shared" ref="S51:S66" si="52">+IF($L51&lt;=$N$7,$M51,IF(($F51+($G51/12))&gt;=$N$7,0,((($N51-((($L51-$N$7)*12)*$O51))))))</f>
        <v>114019.2</v>
      </c>
      <c r="T51" s="19">
        <f t="shared" ref="T51:T66" si="53">IF(L51&lt;=$N$6,M51,Q51+S51)</f>
        <v>114019.2</v>
      </c>
      <c r="U51" s="19">
        <f t="shared" ref="U51:U66" si="54">+M51-T51</f>
        <v>0</v>
      </c>
    </row>
    <row r="52" spans="1:24">
      <c r="A52" s="391"/>
      <c r="B52" s="391"/>
      <c r="C52" s="392"/>
      <c r="D52" s="391"/>
      <c r="E52" s="393" t="s">
        <v>498</v>
      </c>
      <c r="F52" s="391">
        <v>2020</v>
      </c>
      <c r="G52" s="392">
        <v>12</v>
      </c>
      <c r="H52" s="394">
        <v>0</v>
      </c>
      <c r="I52" s="395" t="s">
        <v>86</v>
      </c>
      <c r="J52" s="392">
        <v>3</v>
      </c>
      <c r="K52" s="396">
        <f t="shared" si="46"/>
        <v>2023</v>
      </c>
      <c r="L52" s="50">
        <f>+K52+(G52/12)</f>
        <v>2024</v>
      </c>
      <c r="M52" s="51">
        <f>'Depreciation - Orig.'!N40-Depreciation!M51</f>
        <v>28504.800000000003</v>
      </c>
      <c r="N52" s="52">
        <f t="shared" si="48"/>
        <v>28504.800000000003</v>
      </c>
      <c r="O52" s="52">
        <f t="shared" si="49"/>
        <v>791.80000000000007</v>
      </c>
      <c r="P52" s="52">
        <f>+O52*12</f>
        <v>9501.6</v>
      </c>
      <c r="Q52" s="389">
        <f t="shared" si="51"/>
        <v>0</v>
      </c>
      <c r="R52" s="101"/>
      <c r="S52" s="390">
        <f t="shared" si="52"/>
        <v>21378.600000000002</v>
      </c>
      <c r="T52" s="19">
        <f t="shared" si="53"/>
        <v>28504.800000000003</v>
      </c>
      <c r="U52" s="19">
        <f t="shared" si="54"/>
        <v>0</v>
      </c>
      <c r="W52" s="39"/>
      <c r="X52" s="39"/>
    </row>
    <row r="53" spans="1:24">
      <c r="C53" s="364" t="s">
        <v>111</v>
      </c>
      <c r="D53" s="15">
        <v>7</v>
      </c>
      <c r="E53" s="385" t="s">
        <v>112</v>
      </c>
      <c r="F53" s="15">
        <v>2006</v>
      </c>
      <c r="G53" s="364">
        <v>10</v>
      </c>
      <c r="H53" s="386">
        <v>0</v>
      </c>
      <c r="I53" s="387" t="s">
        <v>86</v>
      </c>
      <c r="J53" s="364">
        <v>7</v>
      </c>
      <c r="K53" s="388">
        <f t="shared" si="46"/>
        <v>2013</v>
      </c>
      <c r="L53" s="21">
        <f t="shared" si="47"/>
        <v>2013.8333333333333</v>
      </c>
      <c r="M53" s="20">
        <f>'Depreciation - Orig.'!P41</f>
        <v>145931.52799999999</v>
      </c>
      <c r="N53" s="19">
        <f t="shared" si="48"/>
        <v>145931.52799999999</v>
      </c>
      <c r="O53" s="19">
        <f t="shared" si="49"/>
        <v>1737.2800952380951</v>
      </c>
      <c r="P53" s="19">
        <f t="shared" si="50"/>
        <v>20847.361142857142</v>
      </c>
      <c r="Q53" s="419">
        <f t="shared" si="51"/>
        <v>0</v>
      </c>
      <c r="R53" s="101"/>
      <c r="S53" s="390">
        <f t="shared" si="52"/>
        <v>145931.52799999999</v>
      </c>
      <c r="T53" s="19">
        <f t="shared" si="53"/>
        <v>145931.52799999999</v>
      </c>
      <c r="U53" s="19">
        <f t="shared" si="54"/>
        <v>0</v>
      </c>
    </row>
    <row r="54" spans="1:24">
      <c r="A54" s="391"/>
      <c r="B54" s="391"/>
      <c r="C54" s="392"/>
      <c r="D54" s="391"/>
      <c r="E54" s="393" t="s">
        <v>499</v>
      </c>
      <c r="F54" s="391">
        <v>2020</v>
      </c>
      <c r="G54" s="392">
        <v>12</v>
      </c>
      <c r="H54" s="394">
        <v>0</v>
      </c>
      <c r="I54" s="395" t="s">
        <v>86</v>
      </c>
      <c r="J54" s="392">
        <v>3</v>
      </c>
      <c r="K54" s="396">
        <f t="shared" si="46"/>
        <v>2023</v>
      </c>
      <c r="L54" s="50">
        <f>+K54+(G54/12)</f>
        <v>2024</v>
      </c>
      <c r="M54" s="51">
        <f>'Depreciation - Orig.'!N41-Depreciation!M53</f>
        <v>36482.882000000012</v>
      </c>
      <c r="N54" s="52">
        <f t="shared" si="48"/>
        <v>36482.882000000012</v>
      </c>
      <c r="O54" s="52">
        <f t="shared" si="49"/>
        <v>1013.4133888888892</v>
      </c>
      <c r="P54" s="52">
        <f>+O54*12</f>
        <v>12160.960666666671</v>
      </c>
      <c r="Q54" s="389">
        <f t="shared" si="51"/>
        <v>0</v>
      </c>
      <c r="R54" s="101"/>
      <c r="S54" s="390">
        <f t="shared" si="52"/>
        <v>27362.161500000009</v>
      </c>
      <c r="T54" s="19">
        <f t="shared" si="53"/>
        <v>36482.882000000012</v>
      </c>
      <c r="U54" s="19">
        <f t="shared" si="54"/>
        <v>0</v>
      </c>
      <c r="W54" s="39"/>
      <c r="X54" s="39"/>
    </row>
    <row r="55" spans="1:24">
      <c r="C55" s="364"/>
      <c r="E55" s="385"/>
      <c r="H55" s="386"/>
      <c r="I55" s="387"/>
      <c r="K55" s="388"/>
      <c r="L55" s="21"/>
      <c r="M55" s="20"/>
      <c r="N55" s="19"/>
      <c r="O55" s="19"/>
      <c r="P55" s="19"/>
      <c r="Q55" s="419">
        <f t="shared" si="51"/>
        <v>0</v>
      </c>
      <c r="R55" s="101"/>
      <c r="S55" s="390">
        <f t="shared" si="52"/>
        <v>0</v>
      </c>
      <c r="T55" s="19">
        <f t="shared" si="53"/>
        <v>0</v>
      </c>
      <c r="U55" s="19">
        <f t="shared" si="54"/>
        <v>0</v>
      </c>
    </row>
    <row r="56" spans="1:24">
      <c r="C56" s="364" t="s">
        <v>111</v>
      </c>
      <c r="D56" s="15">
        <v>37</v>
      </c>
      <c r="E56" s="385" t="s">
        <v>114</v>
      </c>
      <c r="F56" s="15">
        <v>2009</v>
      </c>
      <c r="G56" s="364">
        <v>12</v>
      </c>
      <c r="H56" s="386">
        <v>0</v>
      </c>
      <c r="I56" s="387" t="s">
        <v>86</v>
      </c>
      <c r="J56" s="364">
        <v>7</v>
      </c>
      <c r="K56" s="388">
        <f t="shared" si="46"/>
        <v>2016</v>
      </c>
      <c r="L56" s="21">
        <f t="shared" si="47"/>
        <v>2017</v>
      </c>
      <c r="M56" s="20">
        <f>'Depreciation - Orig.'!P43</f>
        <v>145658.23200000002</v>
      </c>
      <c r="N56" s="19">
        <f t="shared" si="48"/>
        <v>145658.23200000002</v>
      </c>
      <c r="O56" s="19">
        <f t="shared" si="49"/>
        <v>1734.0265714285715</v>
      </c>
      <c r="P56" s="19">
        <f t="shared" si="50"/>
        <v>20808.318857142858</v>
      </c>
      <c r="Q56" s="419">
        <f t="shared" si="51"/>
        <v>0</v>
      </c>
      <c r="R56" s="101"/>
      <c r="S56" s="390">
        <f t="shared" si="52"/>
        <v>145658.23200000002</v>
      </c>
      <c r="T56" s="19">
        <f t="shared" si="53"/>
        <v>145658.23200000002</v>
      </c>
      <c r="U56" s="19">
        <f t="shared" si="54"/>
        <v>0</v>
      </c>
    </row>
    <row r="57" spans="1:24">
      <c r="A57" s="391"/>
      <c r="B57" s="391"/>
      <c r="C57" s="392"/>
      <c r="D57" s="391"/>
      <c r="E57" s="393" t="s">
        <v>501</v>
      </c>
      <c r="F57" s="391">
        <v>2020</v>
      </c>
      <c r="G57" s="392">
        <v>12</v>
      </c>
      <c r="H57" s="394">
        <v>0</v>
      </c>
      <c r="I57" s="395" t="s">
        <v>86</v>
      </c>
      <c r="J57" s="392">
        <v>3</v>
      </c>
      <c r="K57" s="396">
        <f t="shared" si="46"/>
        <v>2023</v>
      </c>
      <c r="L57" s="50">
        <f>+K57+(G57/12)</f>
        <v>2024</v>
      </c>
      <c r="M57" s="51">
        <f>'Depreciation - Orig.'!N43-Depreciation!M56</f>
        <v>36414.55799999999</v>
      </c>
      <c r="N57" s="52">
        <f t="shared" si="48"/>
        <v>36414.55799999999</v>
      </c>
      <c r="O57" s="52">
        <f t="shared" si="49"/>
        <v>1011.5154999999996</v>
      </c>
      <c r="P57" s="52">
        <f>+O57*12</f>
        <v>12138.185999999996</v>
      </c>
      <c r="Q57" s="389">
        <f t="shared" si="51"/>
        <v>0</v>
      </c>
      <c r="R57" s="101"/>
      <c r="S57" s="390">
        <f t="shared" si="52"/>
        <v>27310.918499999992</v>
      </c>
      <c r="T57" s="19">
        <f t="shared" si="53"/>
        <v>36414.55799999999</v>
      </c>
      <c r="U57" s="19">
        <f t="shared" si="54"/>
        <v>0</v>
      </c>
      <c r="W57" s="39"/>
      <c r="X57" s="39"/>
    </row>
    <row r="58" spans="1:24">
      <c r="C58" s="364" t="s">
        <v>2</v>
      </c>
      <c r="D58" s="388">
        <v>3</v>
      </c>
      <c r="E58" s="385" t="s">
        <v>115</v>
      </c>
      <c r="F58" s="15">
        <v>2010</v>
      </c>
      <c r="G58" s="364">
        <v>3</v>
      </c>
      <c r="H58" s="386">
        <v>0</v>
      </c>
      <c r="I58" s="387" t="s">
        <v>86</v>
      </c>
      <c r="J58" s="364">
        <v>7</v>
      </c>
      <c r="K58" s="388">
        <f t="shared" si="46"/>
        <v>2017</v>
      </c>
      <c r="L58" s="21">
        <f t="shared" si="47"/>
        <v>2017.25</v>
      </c>
      <c r="M58" s="20">
        <f>'Depreciation - Orig.'!P44</f>
        <v>1862.616</v>
      </c>
      <c r="N58" s="19">
        <f t="shared" si="48"/>
        <v>1862.616</v>
      </c>
      <c r="O58" s="19">
        <f t="shared" si="49"/>
        <v>22.174000000000003</v>
      </c>
      <c r="P58" s="19">
        <f t="shared" si="50"/>
        <v>266.08800000000002</v>
      </c>
      <c r="Q58" s="419">
        <f t="shared" si="51"/>
        <v>0</v>
      </c>
      <c r="R58" s="101"/>
      <c r="S58" s="390">
        <f t="shared" si="52"/>
        <v>1862.616</v>
      </c>
      <c r="T58" s="19">
        <f t="shared" si="53"/>
        <v>1862.616</v>
      </c>
      <c r="U58" s="19">
        <f t="shared" si="54"/>
        <v>0</v>
      </c>
    </row>
    <row r="59" spans="1:24">
      <c r="A59" s="391"/>
      <c r="B59" s="391"/>
      <c r="C59" s="392"/>
      <c r="D59" s="391"/>
      <c r="E59" s="393" t="s">
        <v>502</v>
      </c>
      <c r="F59" s="391">
        <v>2020</v>
      </c>
      <c r="G59" s="392">
        <v>12</v>
      </c>
      <c r="H59" s="394">
        <v>0</v>
      </c>
      <c r="I59" s="395" t="s">
        <v>86</v>
      </c>
      <c r="J59" s="392">
        <v>3</v>
      </c>
      <c r="K59" s="396">
        <f t="shared" si="46"/>
        <v>2023</v>
      </c>
      <c r="L59" s="50">
        <f>+K59+(G59/12)</f>
        <v>2024</v>
      </c>
      <c r="M59" s="51">
        <f>'Depreciation - Orig.'!N44-Depreciation!M58</f>
        <v>465.654</v>
      </c>
      <c r="N59" s="52">
        <f t="shared" si="48"/>
        <v>465.654</v>
      </c>
      <c r="O59" s="52">
        <f t="shared" si="49"/>
        <v>12.934833333333332</v>
      </c>
      <c r="P59" s="52">
        <f>+O59*12</f>
        <v>155.21799999999999</v>
      </c>
      <c r="Q59" s="389">
        <f t="shared" si="51"/>
        <v>0</v>
      </c>
      <c r="R59" s="101"/>
      <c r="S59" s="390">
        <f t="shared" si="52"/>
        <v>349.2405</v>
      </c>
      <c r="T59" s="19">
        <f t="shared" si="53"/>
        <v>465.654</v>
      </c>
      <c r="U59" s="19">
        <f t="shared" si="54"/>
        <v>0</v>
      </c>
      <c r="W59" s="39"/>
      <c r="X59" s="39"/>
    </row>
    <row r="60" spans="1:24">
      <c r="C60" s="364" t="s">
        <v>2</v>
      </c>
      <c r="D60" s="388">
        <v>25</v>
      </c>
      <c r="E60" s="385" t="s">
        <v>116</v>
      </c>
      <c r="F60" s="15">
        <v>2010</v>
      </c>
      <c r="G60" s="364">
        <v>6</v>
      </c>
      <c r="H60" s="386">
        <v>0</v>
      </c>
      <c r="I60" s="387" t="s">
        <v>86</v>
      </c>
      <c r="J60" s="364">
        <v>3</v>
      </c>
      <c r="K60" s="388">
        <f t="shared" si="46"/>
        <v>2013</v>
      </c>
      <c r="L60" s="21">
        <f t="shared" si="47"/>
        <v>2013.5</v>
      </c>
      <c r="M60" s="20">
        <f>5125.25</f>
        <v>5125.25</v>
      </c>
      <c r="N60" s="19">
        <f t="shared" si="48"/>
        <v>5125.25</v>
      </c>
      <c r="O60" s="19">
        <f t="shared" si="49"/>
        <v>142.36805555555557</v>
      </c>
      <c r="P60" s="19">
        <f t="shared" si="50"/>
        <v>1708.416666666667</v>
      </c>
      <c r="Q60" s="419">
        <f t="shared" si="51"/>
        <v>0</v>
      </c>
      <c r="R60" s="101"/>
      <c r="S60" s="390">
        <f t="shared" si="52"/>
        <v>5125.25</v>
      </c>
      <c r="T60" s="19">
        <f t="shared" si="53"/>
        <v>5125.25</v>
      </c>
      <c r="U60" s="19">
        <f t="shared" si="54"/>
        <v>0</v>
      </c>
    </row>
    <row r="61" spans="1:24">
      <c r="B61" s="15">
        <v>95491</v>
      </c>
      <c r="C61" s="364"/>
      <c r="D61" s="388">
        <v>37</v>
      </c>
      <c r="E61" s="385" t="s">
        <v>225</v>
      </c>
      <c r="F61" s="15">
        <v>2012</v>
      </c>
      <c r="G61" s="364">
        <v>7</v>
      </c>
      <c r="H61" s="386">
        <v>0</v>
      </c>
      <c r="I61" s="387" t="s">
        <v>86</v>
      </c>
      <c r="J61" s="364">
        <v>7</v>
      </c>
      <c r="K61" s="388">
        <f t="shared" si="46"/>
        <v>2019</v>
      </c>
      <c r="L61" s="21">
        <f t="shared" si="47"/>
        <v>2019.5833333333333</v>
      </c>
      <c r="M61" s="20">
        <f>+'Depreciation - Orig.'!P46</f>
        <v>476</v>
      </c>
      <c r="N61" s="19">
        <f t="shared" si="48"/>
        <v>476</v>
      </c>
      <c r="O61" s="19">
        <f t="shared" si="49"/>
        <v>5.666666666666667</v>
      </c>
      <c r="P61" s="19">
        <f t="shared" si="50"/>
        <v>68</v>
      </c>
      <c r="Q61" s="419">
        <f t="shared" si="51"/>
        <v>0</v>
      </c>
      <c r="R61" s="101"/>
      <c r="S61" s="390">
        <f t="shared" si="52"/>
        <v>476</v>
      </c>
      <c r="T61" s="19">
        <f t="shared" si="53"/>
        <v>476</v>
      </c>
      <c r="U61" s="19">
        <f t="shared" si="54"/>
        <v>0</v>
      </c>
    </row>
    <row r="62" spans="1:24">
      <c r="A62" s="391"/>
      <c r="B62" s="391"/>
      <c r="C62" s="392"/>
      <c r="D62" s="391"/>
      <c r="E62" s="393" t="s">
        <v>520</v>
      </c>
      <c r="F62" s="391">
        <v>2020</v>
      </c>
      <c r="G62" s="392">
        <v>12</v>
      </c>
      <c r="H62" s="394">
        <v>0</v>
      </c>
      <c r="I62" s="395" t="s">
        <v>86</v>
      </c>
      <c r="J62" s="392">
        <v>3</v>
      </c>
      <c r="K62" s="396">
        <f t="shared" ref="K62" si="55">F62+J62</f>
        <v>2023</v>
      </c>
      <c r="L62" s="50">
        <f>+K62+(G62/12)</f>
        <v>2024</v>
      </c>
      <c r="M62" s="51">
        <f>+'Depreciation - Orig.'!N46-Depreciation!M61</f>
        <v>119</v>
      </c>
      <c r="N62" s="52">
        <f t="shared" ref="N62" si="56">M62-M62*H62</f>
        <v>119</v>
      </c>
      <c r="O62" s="52">
        <f t="shared" ref="O62" si="57">N62/J62/12</f>
        <v>3.3055555555555554</v>
      </c>
      <c r="P62" s="52">
        <f>+O62*12</f>
        <v>39.666666666666664</v>
      </c>
      <c r="Q62" s="389">
        <f t="shared" si="51"/>
        <v>0</v>
      </c>
      <c r="R62" s="101"/>
      <c r="S62" s="390">
        <f t="shared" si="52"/>
        <v>89.25</v>
      </c>
      <c r="T62" s="19">
        <f t="shared" si="53"/>
        <v>119</v>
      </c>
      <c r="U62" s="19">
        <f t="shared" si="54"/>
        <v>0</v>
      </c>
      <c r="W62" s="39"/>
      <c r="X62" s="39"/>
    </row>
    <row r="63" spans="1:24">
      <c r="B63" s="15">
        <v>131501</v>
      </c>
      <c r="C63" s="364"/>
      <c r="D63" s="388">
        <v>7</v>
      </c>
      <c r="E63" s="385" t="s">
        <v>337</v>
      </c>
      <c r="F63" s="15">
        <v>2016</v>
      </c>
      <c r="G63" s="364">
        <v>1</v>
      </c>
      <c r="H63" s="386">
        <v>0</v>
      </c>
      <c r="I63" s="387" t="s">
        <v>86</v>
      </c>
      <c r="J63" s="364">
        <v>3</v>
      </c>
      <c r="K63" s="388">
        <f t="shared" si="46"/>
        <v>2019</v>
      </c>
      <c r="L63" s="21">
        <f t="shared" si="47"/>
        <v>2019.0833333333333</v>
      </c>
      <c r="M63" s="20">
        <v>6050.04</v>
      </c>
      <c r="N63" s="19">
        <f t="shared" si="48"/>
        <v>6050.04</v>
      </c>
      <c r="O63" s="19">
        <f t="shared" si="49"/>
        <v>168.05666666666667</v>
      </c>
      <c r="P63" s="19">
        <f t="shared" si="50"/>
        <v>2016.68</v>
      </c>
      <c r="Q63" s="419">
        <f t="shared" si="51"/>
        <v>0</v>
      </c>
      <c r="R63" s="101"/>
      <c r="S63" s="390">
        <f t="shared" si="52"/>
        <v>6050.04</v>
      </c>
      <c r="T63" s="19">
        <f t="shared" si="53"/>
        <v>6050.04</v>
      </c>
      <c r="U63" s="19">
        <f t="shared" si="54"/>
        <v>0</v>
      </c>
    </row>
    <row r="64" spans="1:24">
      <c r="B64" s="15">
        <v>131544</v>
      </c>
      <c r="C64" s="364"/>
      <c r="D64" s="388"/>
      <c r="E64" s="385" t="s">
        <v>338</v>
      </c>
      <c r="F64" s="15">
        <v>2016</v>
      </c>
      <c r="G64" s="364">
        <v>3</v>
      </c>
      <c r="H64" s="386">
        <v>0</v>
      </c>
      <c r="I64" s="387" t="s">
        <v>86</v>
      </c>
      <c r="J64" s="364">
        <v>1</v>
      </c>
      <c r="K64" s="388">
        <f t="shared" si="46"/>
        <v>2017</v>
      </c>
      <c r="L64" s="21">
        <f t="shared" si="47"/>
        <v>2017.25</v>
      </c>
      <c r="M64" s="20">
        <f>5975.04/24*4</f>
        <v>995.84</v>
      </c>
      <c r="N64" s="19">
        <f t="shared" si="48"/>
        <v>995.84</v>
      </c>
      <c r="O64" s="19">
        <f t="shared" si="49"/>
        <v>82.986666666666665</v>
      </c>
      <c r="P64" s="19">
        <f t="shared" si="50"/>
        <v>995.83999999999992</v>
      </c>
      <c r="Q64" s="419">
        <f t="shared" si="51"/>
        <v>0</v>
      </c>
      <c r="R64" s="101"/>
      <c r="S64" s="390">
        <f t="shared" si="52"/>
        <v>995.84</v>
      </c>
      <c r="T64" s="19">
        <f t="shared" si="53"/>
        <v>995.84</v>
      </c>
      <c r="U64" s="19">
        <f t="shared" si="54"/>
        <v>0</v>
      </c>
    </row>
    <row r="65" spans="1:24">
      <c r="B65" s="15">
        <v>165805</v>
      </c>
      <c r="C65" s="364"/>
      <c r="D65" s="388"/>
      <c r="E65" s="385" t="s">
        <v>347</v>
      </c>
      <c r="F65" s="15">
        <v>2016</v>
      </c>
      <c r="G65" s="364">
        <v>6</v>
      </c>
      <c r="H65" s="386">
        <v>0</v>
      </c>
      <c r="I65" s="387" t="s">
        <v>86</v>
      </c>
      <c r="J65" s="364">
        <v>1</v>
      </c>
      <c r="K65" s="388">
        <f t="shared" si="46"/>
        <v>2017</v>
      </c>
      <c r="L65" s="21">
        <f t="shared" si="47"/>
        <v>2017.5</v>
      </c>
      <c r="M65" s="20">
        <f>6255.46/30*4</f>
        <v>834.06133333333332</v>
      </c>
      <c r="N65" s="19">
        <f t="shared" si="48"/>
        <v>834.06133333333332</v>
      </c>
      <c r="O65" s="19">
        <f t="shared" si="49"/>
        <v>69.505111111111106</v>
      </c>
      <c r="P65" s="19">
        <f t="shared" si="50"/>
        <v>834.06133333333332</v>
      </c>
      <c r="Q65" s="419">
        <f t="shared" si="51"/>
        <v>0</v>
      </c>
      <c r="R65" s="101"/>
      <c r="S65" s="390">
        <f t="shared" si="52"/>
        <v>834.06133333333332</v>
      </c>
      <c r="T65" s="19">
        <f t="shared" si="53"/>
        <v>834.06133333333332</v>
      </c>
      <c r="U65" s="19">
        <f t="shared" si="54"/>
        <v>0</v>
      </c>
    </row>
    <row r="66" spans="1:24">
      <c r="B66" s="15">
        <v>171078</v>
      </c>
      <c r="C66" s="364"/>
      <c r="D66" s="388"/>
      <c r="E66" s="385" t="s">
        <v>356</v>
      </c>
      <c r="F66" s="15">
        <v>2016</v>
      </c>
      <c r="G66" s="364">
        <v>12</v>
      </c>
      <c r="H66" s="386">
        <v>0</v>
      </c>
      <c r="I66" s="387" t="s">
        <v>86</v>
      </c>
      <c r="J66" s="364">
        <v>5</v>
      </c>
      <c r="K66" s="388">
        <f t="shared" si="46"/>
        <v>2021</v>
      </c>
      <c r="L66" s="21">
        <f t="shared" si="47"/>
        <v>2022</v>
      </c>
      <c r="M66" s="20">
        <f>22670.1/26*4</f>
        <v>3487.707692307692</v>
      </c>
      <c r="N66" s="19">
        <f t="shared" si="48"/>
        <v>3487.707692307692</v>
      </c>
      <c r="O66" s="19">
        <f t="shared" si="49"/>
        <v>58.128461538461529</v>
      </c>
      <c r="P66" s="19">
        <f t="shared" si="50"/>
        <v>697.54153846153838</v>
      </c>
      <c r="Q66" s="419">
        <f t="shared" si="51"/>
        <v>0</v>
      </c>
      <c r="R66" s="101"/>
      <c r="S66" s="390">
        <f t="shared" si="52"/>
        <v>3487.707692307692</v>
      </c>
      <c r="T66" s="19">
        <f t="shared" si="53"/>
        <v>3487.707692307692</v>
      </c>
      <c r="U66" s="19">
        <f t="shared" si="54"/>
        <v>0</v>
      </c>
    </row>
    <row r="67" spans="1:24">
      <c r="C67" s="364"/>
      <c r="E67" s="385"/>
      <c r="H67" s="386"/>
      <c r="I67" s="387"/>
      <c r="K67" s="388"/>
      <c r="N67" s="366"/>
      <c r="O67" s="366"/>
      <c r="P67" s="19"/>
      <c r="Q67" s="19"/>
      <c r="R67" s="366"/>
      <c r="S67" s="366"/>
      <c r="T67" s="366"/>
      <c r="U67" s="366"/>
    </row>
    <row r="68" spans="1:24" s="16" customFormat="1">
      <c r="C68" s="22"/>
      <c r="E68" s="412" t="s">
        <v>117</v>
      </c>
      <c r="F68" s="406"/>
      <c r="G68" s="405"/>
      <c r="H68" s="420"/>
      <c r="I68" s="404"/>
      <c r="J68" s="405"/>
      <c r="K68" s="403"/>
      <c r="L68" s="406"/>
      <c r="M68" s="421">
        <f t="shared" ref="M68:U68" si="58">SUM(M51:M67)</f>
        <v>526427.369025641</v>
      </c>
      <c r="N68" s="421">
        <f t="shared" si="58"/>
        <v>526427.369025641</v>
      </c>
      <c r="O68" s="421">
        <f t="shared" si="58"/>
        <v>8210.5330012210015</v>
      </c>
      <c r="P68" s="421">
        <f t="shared" si="58"/>
        <v>98526.396014652011</v>
      </c>
      <c r="Q68" s="421">
        <f t="shared" si="58"/>
        <v>0</v>
      </c>
      <c r="R68" s="421">
        <f t="shared" si="58"/>
        <v>0</v>
      </c>
      <c r="S68" s="421">
        <f t="shared" si="58"/>
        <v>500930.64552564098</v>
      </c>
      <c r="T68" s="421">
        <f t="shared" si="58"/>
        <v>526427.369025641</v>
      </c>
      <c r="U68" s="421">
        <f t="shared" si="58"/>
        <v>0</v>
      </c>
      <c r="V68" s="407"/>
    </row>
    <row r="69" spans="1:24" s="16" customFormat="1">
      <c r="C69" s="22"/>
      <c r="D69" s="401"/>
      <c r="E69" s="385"/>
      <c r="F69" s="408"/>
      <c r="G69" s="409"/>
      <c r="H69" s="409"/>
      <c r="I69" s="409"/>
      <c r="J69" s="22"/>
      <c r="K69" s="408"/>
      <c r="M69" s="401"/>
      <c r="N69" s="411"/>
      <c r="O69" s="411"/>
      <c r="P69" s="28"/>
      <c r="Q69" s="28"/>
      <c r="R69" s="411"/>
      <c r="S69" s="411"/>
      <c r="T69" s="411"/>
      <c r="U69" s="411"/>
      <c r="V69" s="407"/>
    </row>
    <row r="70" spans="1:24" s="16" customFormat="1">
      <c r="C70" s="22"/>
      <c r="D70" s="401"/>
      <c r="E70" s="376" t="s">
        <v>578</v>
      </c>
      <c r="F70" s="408"/>
      <c r="G70" s="409"/>
      <c r="H70" s="409"/>
      <c r="I70" s="409"/>
      <c r="J70" s="22"/>
      <c r="K70" s="408"/>
      <c r="M70" s="401"/>
      <c r="N70" s="411"/>
      <c r="O70" s="411"/>
      <c r="P70" s="28"/>
      <c r="Q70" s="28"/>
      <c r="R70" s="411"/>
      <c r="S70" s="411"/>
      <c r="T70" s="411"/>
      <c r="U70" s="411"/>
      <c r="V70" s="407"/>
    </row>
    <row r="71" spans="1:24" s="16" customFormat="1">
      <c r="B71" s="15">
        <v>174656</v>
      </c>
      <c r="C71" s="364"/>
      <c r="D71" s="388"/>
      <c r="E71" s="385" t="s">
        <v>416</v>
      </c>
      <c r="F71" s="15">
        <v>2004</v>
      </c>
      <c r="G71" s="364">
        <v>4</v>
      </c>
      <c r="H71" s="386">
        <v>0</v>
      </c>
      <c r="I71" s="387" t="s">
        <v>86</v>
      </c>
      <c r="J71" s="364">
        <v>3</v>
      </c>
      <c r="K71" s="388">
        <f t="shared" ref="K71:K84" si="59">F71+J71</f>
        <v>2007</v>
      </c>
      <c r="L71" s="21">
        <f t="shared" ref="L71:L84" si="60">+K71+(G71/12)</f>
        <v>2007.3333333333333</v>
      </c>
      <c r="M71" s="19">
        <v>35000</v>
      </c>
      <c r="N71" s="19">
        <f>M71-M71*H71</f>
        <v>35000</v>
      </c>
      <c r="O71" s="19">
        <f t="shared" ref="O71:O84" si="61">N71/J71/12</f>
        <v>972.22222222222217</v>
      </c>
      <c r="P71" s="19">
        <f t="shared" ref="P71:P84" si="62">+O71*12</f>
        <v>11666.666666666666</v>
      </c>
      <c r="Q71" s="419">
        <f t="shared" ref="Q71:Q84" si="63">+IF(L71&gt;$N$6,P71,0)</f>
        <v>0</v>
      </c>
      <c r="R71" s="101"/>
      <c r="S71" s="390">
        <f t="shared" ref="S71:S84" si="64">+IF($L71&lt;=$N$7,$M71,IF(($F71+($G71/12))&gt;=$N$7,0,((($N71-((($L71-$N$7)*12)*$O71))))))</f>
        <v>35000</v>
      </c>
      <c r="T71" s="19">
        <f t="shared" ref="T71:T84" si="65">IF(L71&lt;=$N$6,M71,Q71+S71)</f>
        <v>35000</v>
      </c>
      <c r="U71" s="19">
        <f t="shared" ref="U71:U84" si="66">+M71-T71</f>
        <v>0</v>
      </c>
      <c r="V71" s="407"/>
    </row>
    <row r="72" spans="1:24" s="16" customFormat="1">
      <c r="B72" s="15" t="s">
        <v>421</v>
      </c>
      <c r="C72" s="364"/>
      <c r="D72" s="388"/>
      <c r="E72" s="385" t="s">
        <v>422</v>
      </c>
      <c r="F72" s="15">
        <v>2004</v>
      </c>
      <c r="G72" s="364">
        <v>9</v>
      </c>
      <c r="H72" s="386">
        <v>0</v>
      </c>
      <c r="I72" s="387" t="s">
        <v>86</v>
      </c>
      <c r="J72" s="364">
        <v>3</v>
      </c>
      <c r="K72" s="388">
        <f t="shared" si="59"/>
        <v>2007</v>
      </c>
      <c r="L72" s="21">
        <f t="shared" si="60"/>
        <v>2007.75</v>
      </c>
      <c r="M72" s="19">
        <v>2064</v>
      </c>
      <c r="N72" s="19">
        <f t="shared" ref="N72:N84" si="67">M72-M72*H72</f>
        <v>2064</v>
      </c>
      <c r="O72" s="19">
        <f t="shared" si="61"/>
        <v>57.333333333333336</v>
      </c>
      <c r="P72" s="19">
        <f t="shared" si="62"/>
        <v>688</v>
      </c>
      <c r="Q72" s="419">
        <f t="shared" si="63"/>
        <v>0</v>
      </c>
      <c r="R72" s="101"/>
      <c r="S72" s="390">
        <f t="shared" si="64"/>
        <v>2064</v>
      </c>
      <c r="T72" s="19">
        <f t="shared" si="65"/>
        <v>2064</v>
      </c>
      <c r="U72" s="19">
        <f t="shared" si="66"/>
        <v>0</v>
      </c>
      <c r="V72" s="407"/>
    </row>
    <row r="73" spans="1:24" s="16" customFormat="1">
      <c r="B73" s="15" t="s">
        <v>423</v>
      </c>
      <c r="C73" s="364"/>
      <c r="D73" s="388"/>
      <c r="E73" s="385" t="s">
        <v>424</v>
      </c>
      <c r="F73" s="15">
        <v>2004</v>
      </c>
      <c r="G73" s="364">
        <v>8</v>
      </c>
      <c r="H73" s="386">
        <v>0</v>
      </c>
      <c r="I73" s="387" t="s">
        <v>86</v>
      </c>
      <c r="J73" s="364">
        <v>3</v>
      </c>
      <c r="K73" s="388">
        <f t="shared" si="59"/>
        <v>2007</v>
      </c>
      <c r="L73" s="21">
        <f t="shared" si="60"/>
        <v>2007.6666666666667</v>
      </c>
      <c r="M73" s="19">
        <v>1465.21</v>
      </c>
      <c r="N73" s="19">
        <f t="shared" si="67"/>
        <v>1465.21</v>
      </c>
      <c r="O73" s="19">
        <f t="shared" si="61"/>
        <v>40.700277777777778</v>
      </c>
      <c r="P73" s="19">
        <f t="shared" si="62"/>
        <v>488.40333333333331</v>
      </c>
      <c r="Q73" s="419">
        <f t="shared" si="63"/>
        <v>0</v>
      </c>
      <c r="R73" s="101"/>
      <c r="S73" s="390">
        <f t="shared" si="64"/>
        <v>1465.21</v>
      </c>
      <c r="T73" s="19">
        <f t="shared" si="65"/>
        <v>1465.21</v>
      </c>
      <c r="U73" s="19">
        <f t="shared" si="66"/>
        <v>0</v>
      </c>
      <c r="V73" s="407"/>
    </row>
    <row r="74" spans="1:24" s="16" customFormat="1">
      <c r="B74" s="15" t="s">
        <v>425</v>
      </c>
      <c r="C74" s="364"/>
      <c r="D74" s="388"/>
      <c r="E74" s="385" t="s">
        <v>424</v>
      </c>
      <c r="F74" s="15">
        <v>2004</v>
      </c>
      <c r="G74" s="364">
        <v>9</v>
      </c>
      <c r="H74" s="386">
        <v>0</v>
      </c>
      <c r="I74" s="387" t="s">
        <v>86</v>
      </c>
      <c r="J74" s="364">
        <v>3</v>
      </c>
      <c r="K74" s="388">
        <f t="shared" si="59"/>
        <v>2007</v>
      </c>
      <c r="L74" s="21">
        <f t="shared" si="60"/>
        <v>2007.75</v>
      </c>
      <c r="M74" s="19">
        <v>156.86000000000001</v>
      </c>
      <c r="N74" s="19">
        <f t="shared" si="67"/>
        <v>156.86000000000001</v>
      </c>
      <c r="O74" s="19">
        <f t="shared" si="61"/>
        <v>4.3572222222222221</v>
      </c>
      <c r="P74" s="19">
        <f t="shared" si="62"/>
        <v>52.286666666666662</v>
      </c>
      <c r="Q74" s="419">
        <f t="shared" si="63"/>
        <v>0</v>
      </c>
      <c r="R74" s="101"/>
      <c r="S74" s="390">
        <f t="shared" si="64"/>
        <v>156.86000000000001</v>
      </c>
      <c r="T74" s="19">
        <f t="shared" si="65"/>
        <v>156.86000000000001</v>
      </c>
      <c r="U74" s="19">
        <f t="shared" si="66"/>
        <v>0</v>
      </c>
      <c r="V74" s="407"/>
    </row>
    <row r="75" spans="1:24" s="16" customFormat="1">
      <c r="B75" s="15" t="s">
        <v>426</v>
      </c>
      <c r="C75" s="364"/>
      <c r="D75" s="388"/>
      <c r="E75" s="385" t="s">
        <v>422</v>
      </c>
      <c r="F75" s="15">
        <v>2004</v>
      </c>
      <c r="G75" s="364">
        <v>8</v>
      </c>
      <c r="H75" s="386">
        <v>0</v>
      </c>
      <c r="I75" s="387" t="s">
        <v>86</v>
      </c>
      <c r="J75" s="364">
        <v>3</v>
      </c>
      <c r="K75" s="388">
        <f t="shared" si="59"/>
        <v>2007</v>
      </c>
      <c r="L75" s="21">
        <f t="shared" si="60"/>
        <v>2007.6666666666667</v>
      </c>
      <c r="M75" s="19">
        <v>19279.099999999999</v>
      </c>
      <c r="N75" s="19">
        <f t="shared" si="67"/>
        <v>19279.099999999999</v>
      </c>
      <c r="O75" s="19">
        <f t="shared" si="61"/>
        <v>535.53055555555545</v>
      </c>
      <c r="P75" s="19">
        <f t="shared" si="62"/>
        <v>6426.366666666665</v>
      </c>
      <c r="Q75" s="419">
        <f t="shared" si="63"/>
        <v>0</v>
      </c>
      <c r="R75" s="101"/>
      <c r="S75" s="390">
        <f t="shared" si="64"/>
        <v>19279.099999999999</v>
      </c>
      <c r="T75" s="19">
        <f t="shared" si="65"/>
        <v>19279.099999999999</v>
      </c>
      <c r="U75" s="19">
        <f t="shared" si="66"/>
        <v>0</v>
      </c>
      <c r="V75" s="407"/>
    </row>
    <row r="76" spans="1:24" s="16" customFormat="1">
      <c r="B76" s="15">
        <v>222118</v>
      </c>
      <c r="C76" s="364"/>
      <c r="D76" s="388"/>
      <c r="E76" s="385" t="s">
        <v>549</v>
      </c>
      <c r="F76" s="15">
        <v>2008</v>
      </c>
      <c r="G76" s="364">
        <v>11</v>
      </c>
      <c r="H76" s="386">
        <v>0</v>
      </c>
      <c r="I76" s="387" t="s">
        <v>86</v>
      </c>
      <c r="J76" s="364">
        <v>3</v>
      </c>
      <c r="K76" s="388">
        <f t="shared" ref="K76" si="68">F76+J76</f>
        <v>2011</v>
      </c>
      <c r="L76" s="21">
        <f t="shared" ref="L76" si="69">+K76+(G76/12)</f>
        <v>2011.9166666666667</v>
      </c>
      <c r="M76" s="19">
        <v>2500</v>
      </c>
      <c r="N76" s="19">
        <f t="shared" ref="N76" si="70">M76-M76*H76</f>
        <v>2500</v>
      </c>
      <c r="O76" s="19">
        <f t="shared" ref="O76" si="71">N76/J76/12</f>
        <v>69.444444444444443</v>
      </c>
      <c r="P76" s="19">
        <f t="shared" ref="P76" si="72">+O76*12</f>
        <v>833.33333333333326</v>
      </c>
      <c r="Q76" s="419">
        <f t="shared" si="63"/>
        <v>0</v>
      </c>
      <c r="R76" s="101"/>
      <c r="S76" s="390">
        <f t="shared" si="64"/>
        <v>2500</v>
      </c>
      <c r="T76" s="19">
        <f t="shared" si="65"/>
        <v>2500</v>
      </c>
      <c r="U76" s="19">
        <f t="shared" si="66"/>
        <v>0</v>
      </c>
      <c r="V76" s="407"/>
    </row>
    <row r="77" spans="1:24">
      <c r="C77" s="364" t="s">
        <v>127</v>
      </c>
      <c r="D77" s="388">
        <v>8010</v>
      </c>
      <c r="E77" s="385" t="s">
        <v>128</v>
      </c>
      <c r="F77" s="15">
        <v>2009</v>
      </c>
      <c r="G77" s="364">
        <v>7</v>
      </c>
      <c r="H77" s="386">
        <v>0</v>
      </c>
      <c r="I77" s="387" t="s">
        <v>86</v>
      </c>
      <c r="J77" s="364">
        <v>7</v>
      </c>
      <c r="K77" s="388">
        <f>F77+J77</f>
        <v>2016</v>
      </c>
      <c r="L77" s="21">
        <f>+K77+(G77/12)</f>
        <v>2016.5833333333333</v>
      </c>
      <c r="M77" s="20">
        <f>'Depreciation - Orig.'!P77</f>
        <v>58345.599999999999</v>
      </c>
      <c r="N77" s="19">
        <f>M77-M77*H77</f>
        <v>58345.599999999999</v>
      </c>
      <c r="O77" s="19">
        <f>N77/J77/12</f>
        <v>694.59047619047624</v>
      </c>
      <c r="P77" s="19">
        <f>+O77*12</f>
        <v>8335.0857142857149</v>
      </c>
      <c r="Q77" s="419">
        <f t="shared" si="63"/>
        <v>0</v>
      </c>
      <c r="R77" s="101"/>
      <c r="S77" s="390">
        <f t="shared" si="64"/>
        <v>58345.599999999999</v>
      </c>
      <c r="T77" s="19">
        <f t="shared" si="65"/>
        <v>58345.599999999999</v>
      </c>
      <c r="U77" s="19">
        <f t="shared" si="66"/>
        <v>0</v>
      </c>
    </row>
    <row r="78" spans="1:24">
      <c r="A78" s="391"/>
      <c r="B78" s="391"/>
      <c r="C78" s="392"/>
      <c r="D78" s="391"/>
      <c r="E78" s="393" t="s">
        <v>508</v>
      </c>
      <c r="F78" s="391">
        <v>2020</v>
      </c>
      <c r="G78" s="392">
        <v>12</v>
      </c>
      <c r="H78" s="394">
        <v>0</v>
      </c>
      <c r="I78" s="395" t="s">
        <v>86</v>
      </c>
      <c r="J78" s="392">
        <v>3</v>
      </c>
      <c r="K78" s="396">
        <f t="shared" ref="K78" si="73">F78+J78</f>
        <v>2023</v>
      </c>
      <c r="L78" s="50">
        <f>+K78+(G78/12)</f>
        <v>2024</v>
      </c>
      <c r="M78" s="51">
        <f>'Depreciation - Orig.'!N77-Depreciation!M77</f>
        <v>14586.400000000001</v>
      </c>
      <c r="N78" s="52">
        <f t="shared" ref="N78" si="74">M78-M78*H78</f>
        <v>14586.400000000001</v>
      </c>
      <c r="O78" s="52">
        <f t="shared" ref="O78" si="75">N78/J78/12</f>
        <v>405.17777777777786</v>
      </c>
      <c r="P78" s="52">
        <f>+O78*12</f>
        <v>4862.1333333333341</v>
      </c>
      <c r="Q78" s="389">
        <f t="shared" si="63"/>
        <v>0</v>
      </c>
      <c r="R78" s="101"/>
      <c r="S78" s="390">
        <f t="shared" si="64"/>
        <v>10939.800000000001</v>
      </c>
      <c r="T78" s="19">
        <f t="shared" si="65"/>
        <v>14586.400000000001</v>
      </c>
      <c r="U78" s="19">
        <f t="shared" si="66"/>
        <v>0</v>
      </c>
      <c r="W78" s="39"/>
      <c r="X78" s="39"/>
    </row>
    <row r="79" spans="1:24" s="16" customFormat="1">
      <c r="C79" s="364" t="s">
        <v>118</v>
      </c>
      <c r="D79" s="388">
        <v>17</v>
      </c>
      <c r="E79" s="385" t="s">
        <v>119</v>
      </c>
      <c r="F79" s="15">
        <v>2011</v>
      </c>
      <c r="G79" s="364">
        <v>3</v>
      </c>
      <c r="H79" s="386">
        <v>0</v>
      </c>
      <c r="I79" s="387" t="s">
        <v>86</v>
      </c>
      <c r="J79" s="364">
        <v>5</v>
      </c>
      <c r="K79" s="388">
        <f t="shared" si="59"/>
        <v>2016</v>
      </c>
      <c r="L79" s="21">
        <f t="shared" si="60"/>
        <v>2016.25</v>
      </c>
      <c r="M79" s="19">
        <f>'Depreciation - Orig.'!P62</f>
        <v>17414.64</v>
      </c>
      <c r="N79" s="19">
        <f t="shared" si="67"/>
        <v>17414.64</v>
      </c>
      <c r="O79" s="19">
        <f t="shared" si="61"/>
        <v>290.24399999999997</v>
      </c>
      <c r="P79" s="19">
        <f t="shared" si="62"/>
        <v>3482.9279999999999</v>
      </c>
      <c r="Q79" s="419">
        <f t="shared" si="63"/>
        <v>0</v>
      </c>
      <c r="R79" s="101"/>
      <c r="S79" s="390">
        <f t="shared" si="64"/>
        <v>17414.64</v>
      </c>
      <c r="T79" s="19">
        <f t="shared" si="65"/>
        <v>17414.64</v>
      </c>
      <c r="U79" s="19">
        <f t="shared" si="66"/>
        <v>0</v>
      </c>
      <c r="V79" s="407"/>
    </row>
    <row r="80" spans="1:24">
      <c r="A80" s="391"/>
      <c r="B80" s="391"/>
      <c r="C80" s="392"/>
      <c r="D80" s="391"/>
      <c r="E80" s="393" t="s">
        <v>503</v>
      </c>
      <c r="F80" s="391">
        <v>2020</v>
      </c>
      <c r="G80" s="392">
        <v>12</v>
      </c>
      <c r="H80" s="394">
        <v>0</v>
      </c>
      <c r="I80" s="395" t="s">
        <v>86</v>
      </c>
      <c r="J80" s="392">
        <v>3</v>
      </c>
      <c r="K80" s="396">
        <f t="shared" si="59"/>
        <v>2023</v>
      </c>
      <c r="L80" s="50">
        <f>+K80+(G80/12)</f>
        <v>2024</v>
      </c>
      <c r="M80" s="51">
        <f>'Depreciation - Orig.'!N62-Depreciation!M79</f>
        <v>8577.36</v>
      </c>
      <c r="N80" s="52">
        <f t="shared" si="67"/>
        <v>8577.36</v>
      </c>
      <c r="O80" s="52">
        <f t="shared" si="61"/>
        <v>238.26000000000002</v>
      </c>
      <c r="P80" s="52">
        <f>+O80*12</f>
        <v>2859.1200000000003</v>
      </c>
      <c r="Q80" s="389">
        <f t="shared" si="63"/>
        <v>0</v>
      </c>
      <c r="R80" s="101"/>
      <c r="S80" s="390">
        <f t="shared" si="64"/>
        <v>6433.02</v>
      </c>
      <c r="T80" s="19">
        <f t="shared" si="65"/>
        <v>8577.36</v>
      </c>
      <c r="U80" s="19">
        <f t="shared" si="66"/>
        <v>0</v>
      </c>
      <c r="W80" s="39"/>
      <c r="X80" s="39"/>
    </row>
    <row r="81" spans="1:24" s="16" customFormat="1">
      <c r="B81" s="15" t="s">
        <v>417</v>
      </c>
      <c r="C81" s="364"/>
      <c r="D81" s="388"/>
      <c r="E81" s="385" t="s">
        <v>420</v>
      </c>
      <c r="F81" s="15">
        <v>2012</v>
      </c>
      <c r="G81" s="364">
        <v>9</v>
      </c>
      <c r="H81" s="386">
        <v>0</v>
      </c>
      <c r="I81" s="387" t="s">
        <v>86</v>
      </c>
      <c r="J81" s="364">
        <v>3</v>
      </c>
      <c r="K81" s="388">
        <f t="shared" si="59"/>
        <v>2015</v>
      </c>
      <c r="L81" s="21">
        <f t="shared" si="60"/>
        <v>2015.75</v>
      </c>
      <c r="M81" s="19">
        <v>10263.469999999999</v>
      </c>
      <c r="N81" s="19">
        <f t="shared" si="67"/>
        <v>10263.469999999999</v>
      </c>
      <c r="O81" s="19">
        <f t="shared" si="61"/>
        <v>285.09638888888884</v>
      </c>
      <c r="P81" s="19">
        <f t="shared" si="62"/>
        <v>3421.1566666666658</v>
      </c>
      <c r="Q81" s="419">
        <f t="shared" si="63"/>
        <v>0</v>
      </c>
      <c r="R81" s="101"/>
      <c r="S81" s="390">
        <f t="shared" si="64"/>
        <v>10263.469999999999</v>
      </c>
      <c r="T81" s="19">
        <f t="shared" si="65"/>
        <v>10263.469999999999</v>
      </c>
      <c r="U81" s="19">
        <f t="shared" si="66"/>
        <v>0</v>
      </c>
      <c r="V81" s="407"/>
    </row>
    <row r="82" spans="1:24" s="16" customFormat="1">
      <c r="B82" s="15" t="s">
        <v>419</v>
      </c>
      <c r="C82" s="364"/>
      <c r="D82" s="388"/>
      <c r="E82" s="385" t="s">
        <v>418</v>
      </c>
      <c r="F82" s="15">
        <v>2012</v>
      </c>
      <c r="G82" s="364">
        <v>9</v>
      </c>
      <c r="H82" s="386">
        <v>0</v>
      </c>
      <c r="I82" s="387" t="s">
        <v>86</v>
      </c>
      <c r="J82" s="364">
        <v>3</v>
      </c>
      <c r="K82" s="388">
        <f t="shared" si="59"/>
        <v>2015</v>
      </c>
      <c r="L82" s="21">
        <f t="shared" si="60"/>
        <v>2015.75</v>
      </c>
      <c r="M82" s="19">
        <v>25500</v>
      </c>
      <c r="N82" s="19">
        <f t="shared" si="67"/>
        <v>25500</v>
      </c>
      <c r="O82" s="19">
        <f t="shared" si="61"/>
        <v>708.33333333333337</v>
      </c>
      <c r="P82" s="19">
        <f t="shared" si="62"/>
        <v>8500</v>
      </c>
      <c r="Q82" s="419">
        <f t="shared" si="63"/>
        <v>0</v>
      </c>
      <c r="R82" s="101"/>
      <c r="S82" s="390">
        <f t="shared" si="64"/>
        <v>25500</v>
      </c>
      <c r="T82" s="19">
        <f t="shared" si="65"/>
        <v>25500</v>
      </c>
      <c r="U82" s="19">
        <f t="shared" si="66"/>
        <v>0</v>
      </c>
      <c r="V82" s="407"/>
    </row>
    <row r="83" spans="1:24" s="16" customFormat="1">
      <c r="B83" s="15" t="s">
        <v>413</v>
      </c>
      <c r="C83" s="364" t="s">
        <v>118</v>
      </c>
      <c r="D83" s="388">
        <v>17</v>
      </c>
      <c r="E83" s="385" t="s">
        <v>412</v>
      </c>
      <c r="F83" s="15">
        <v>2017</v>
      </c>
      <c r="G83" s="364">
        <v>4</v>
      </c>
      <c r="H83" s="386">
        <v>0</v>
      </c>
      <c r="I83" s="387" t="s">
        <v>86</v>
      </c>
      <c r="J83" s="364">
        <v>3</v>
      </c>
      <c r="K83" s="388">
        <f t="shared" si="59"/>
        <v>2020</v>
      </c>
      <c r="L83" s="21">
        <f t="shared" si="60"/>
        <v>2020.3333333333333</v>
      </c>
      <c r="M83" s="19">
        <v>23393.360000000001</v>
      </c>
      <c r="N83" s="19">
        <f t="shared" si="67"/>
        <v>23393.360000000001</v>
      </c>
      <c r="O83" s="19">
        <f t="shared" si="61"/>
        <v>649.81555555555553</v>
      </c>
      <c r="P83" s="19">
        <f t="shared" si="62"/>
        <v>7797.7866666666669</v>
      </c>
      <c r="Q83" s="419">
        <f t="shared" si="63"/>
        <v>0</v>
      </c>
      <c r="R83" s="101"/>
      <c r="S83" s="390">
        <f t="shared" si="64"/>
        <v>23393.360000000001</v>
      </c>
      <c r="T83" s="19">
        <f t="shared" si="65"/>
        <v>23393.360000000001</v>
      </c>
      <c r="U83" s="19">
        <f t="shared" si="66"/>
        <v>0</v>
      </c>
      <c r="V83" s="407"/>
    </row>
    <row r="84" spans="1:24" s="16" customFormat="1">
      <c r="B84" s="15" t="s">
        <v>414</v>
      </c>
      <c r="C84" s="364" t="s">
        <v>118</v>
      </c>
      <c r="D84" s="388">
        <v>17</v>
      </c>
      <c r="E84" s="385" t="s">
        <v>415</v>
      </c>
      <c r="F84" s="15">
        <v>2017</v>
      </c>
      <c r="G84" s="364">
        <v>4</v>
      </c>
      <c r="H84" s="386">
        <v>0</v>
      </c>
      <c r="I84" s="387" t="s">
        <v>86</v>
      </c>
      <c r="J84" s="364">
        <v>3</v>
      </c>
      <c r="K84" s="388">
        <f t="shared" si="59"/>
        <v>2020</v>
      </c>
      <c r="L84" s="21">
        <f t="shared" si="60"/>
        <v>2020.3333333333333</v>
      </c>
      <c r="M84" s="19">
        <v>2453.85</v>
      </c>
      <c r="N84" s="19">
        <f t="shared" si="67"/>
        <v>2453.85</v>
      </c>
      <c r="O84" s="19">
        <f t="shared" si="61"/>
        <v>68.162499999999994</v>
      </c>
      <c r="P84" s="19">
        <f t="shared" si="62"/>
        <v>817.94999999999993</v>
      </c>
      <c r="Q84" s="419">
        <f t="shared" si="63"/>
        <v>0</v>
      </c>
      <c r="R84" s="101"/>
      <c r="S84" s="390">
        <f t="shared" si="64"/>
        <v>2453.85</v>
      </c>
      <c r="T84" s="19">
        <f t="shared" si="65"/>
        <v>2453.85</v>
      </c>
      <c r="U84" s="19">
        <f t="shared" si="66"/>
        <v>0</v>
      </c>
      <c r="V84" s="407"/>
    </row>
    <row r="85" spans="1:24" s="16" customFormat="1">
      <c r="B85" s="15"/>
      <c r="C85" s="364"/>
      <c r="D85" s="388"/>
      <c r="E85" s="385"/>
      <c r="F85" s="15"/>
      <c r="G85" s="364"/>
      <c r="H85" s="386"/>
      <c r="I85" s="387"/>
      <c r="J85" s="364"/>
      <c r="K85" s="388"/>
      <c r="M85" s="422"/>
      <c r="N85" s="366"/>
      <c r="O85" s="366"/>
      <c r="P85" s="19"/>
      <c r="Q85" s="19"/>
      <c r="R85" s="366"/>
      <c r="S85" s="366"/>
      <c r="T85" s="366"/>
      <c r="U85" s="366"/>
      <c r="V85" s="407"/>
    </row>
    <row r="86" spans="1:24">
      <c r="C86" s="364"/>
      <c r="D86" s="388"/>
      <c r="E86" s="412" t="s">
        <v>579</v>
      </c>
      <c r="F86" s="413"/>
      <c r="G86" s="414"/>
      <c r="H86" s="415"/>
      <c r="I86" s="416"/>
      <c r="J86" s="414"/>
      <c r="K86" s="417"/>
      <c r="L86" s="413"/>
      <c r="M86" s="421">
        <f t="shared" ref="M86:U86" si="76">+SUM(M71:M85)</f>
        <v>220999.85</v>
      </c>
      <c r="N86" s="421">
        <f t="shared" si="76"/>
        <v>220999.85</v>
      </c>
      <c r="O86" s="421">
        <f t="shared" si="76"/>
        <v>5019.2680873015879</v>
      </c>
      <c r="P86" s="421">
        <f t="shared" si="76"/>
        <v>60231.217047619037</v>
      </c>
      <c r="Q86" s="421">
        <f t="shared" si="76"/>
        <v>0</v>
      </c>
      <c r="R86" s="421">
        <f t="shared" si="76"/>
        <v>0</v>
      </c>
      <c r="S86" s="421">
        <f t="shared" si="76"/>
        <v>215208.91</v>
      </c>
      <c r="T86" s="421">
        <f t="shared" si="76"/>
        <v>220999.85</v>
      </c>
      <c r="U86" s="421">
        <f t="shared" si="76"/>
        <v>0</v>
      </c>
    </row>
    <row r="87" spans="1:24" s="16" customFormat="1">
      <c r="C87" s="22"/>
      <c r="D87" s="401"/>
      <c r="E87" s="385"/>
      <c r="F87" s="408"/>
      <c r="G87" s="409"/>
      <c r="H87" s="409"/>
      <c r="I87" s="409"/>
      <c r="J87" s="22"/>
      <c r="K87" s="408"/>
      <c r="M87" s="401"/>
      <c r="N87" s="411"/>
      <c r="O87" s="411"/>
      <c r="P87" s="28"/>
      <c r="Q87" s="28"/>
      <c r="R87" s="411"/>
      <c r="S87" s="411"/>
      <c r="T87" s="411"/>
      <c r="U87" s="411"/>
      <c r="V87" s="407"/>
    </row>
    <row r="88" spans="1:24" s="16" customFormat="1">
      <c r="C88" s="22"/>
      <c r="D88" s="401"/>
      <c r="E88" s="410" t="s">
        <v>120</v>
      </c>
      <c r="F88" s="408"/>
      <c r="G88" s="409"/>
      <c r="H88" s="409"/>
      <c r="I88" s="409"/>
      <c r="J88" s="22"/>
      <c r="K88" s="408"/>
      <c r="M88" s="401"/>
      <c r="N88" s="411"/>
      <c r="O88" s="411"/>
      <c r="P88" s="28"/>
      <c r="Q88" s="28"/>
      <c r="R88" s="411"/>
      <c r="S88" s="411"/>
      <c r="T88" s="411"/>
      <c r="U88" s="411"/>
      <c r="V88" s="407"/>
    </row>
    <row r="89" spans="1:24">
      <c r="C89" s="364" t="s">
        <v>121</v>
      </c>
      <c r="D89" s="15">
        <v>29</v>
      </c>
      <c r="E89" s="385" t="s">
        <v>122</v>
      </c>
      <c r="F89" s="15">
        <v>2009</v>
      </c>
      <c r="G89" s="364">
        <v>7</v>
      </c>
      <c r="H89" s="386">
        <v>0</v>
      </c>
      <c r="I89" s="387" t="s">
        <v>86</v>
      </c>
      <c r="J89" s="364">
        <v>7</v>
      </c>
      <c r="K89" s="388">
        <f t="shared" ref="K89:K95" si="77">F89+J89</f>
        <v>2016</v>
      </c>
      <c r="L89" s="21">
        <f t="shared" ref="L89:L95" si="78">+K89+(G89/12)</f>
        <v>2016.5833333333333</v>
      </c>
      <c r="M89" s="20">
        <f>'Depreciation - Orig.'!P73</f>
        <v>199821.6</v>
      </c>
      <c r="N89" s="19">
        <f t="shared" ref="N89:N95" si="79">M89-M89*H89</f>
        <v>199821.6</v>
      </c>
      <c r="O89" s="19">
        <f t="shared" ref="O89:O95" si="80">N89/J89/12</f>
        <v>2378.8285714285716</v>
      </c>
      <c r="P89" s="19">
        <f t="shared" ref="P89:P95" si="81">+O89*12</f>
        <v>28545.942857142858</v>
      </c>
      <c r="Q89" s="419">
        <f t="shared" ref="Q89:Q97" si="82">+IF(L89&gt;$N$6,P89,0)</f>
        <v>0</v>
      </c>
      <c r="R89" s="101"/>
      <c r="S89" s="390">
        <f t="shared" ref="S89:S97" si="83">+IF($L89&lt;=$N$7,$M89,IF(($F89+($G89/12))&gt;=$N$7,0,((($N89-((($L89-$N$7)*12)*$O89))))))</f>
        <v>199821.6</v>
      </c>
      <c r="T89" s="19">
        <f t="shared" ref="T89:T97" si="84">IF(L89&lt;=$N$6,M89,Q89+S89)</f>
        <v>199821.6</v>
      </c>
      <c r="U89" s="19">
        <f t="shared" ref="U89:U97" si="85">+M89-T89</f>
        <v>0</v>
      </c>
      <c r="V89" s="14"/>
    </row>
    <row r="90" spans="1:24">
      <c r="A90" s="391"/>
      <c r="B90" s="391"/>
      <c r="C90" s="392"/>
      <c r="D90" s="391"/>
      <c r="E90" s="393" t="s">
        <v>504</v>
      </c>
      <c r="F90" s="391">
        <v>2020</v>
      </c>
      <c r="G90" s="392">
        <v>12</v>
      </c>
      <c r="H90" s="394">
        <v>0</v>
      </c>
      <c r="I90" s="395" t="s">
        <v>86</v>
      </c>
      <c r="J90" s="392">
        <v>3</v>
      </c>
      <c r="K90" s="396">
        <f t="shared" ref="K90" si="86">F90+J90</f>
        <v>2023</v>
      </c>
      <c r="L90" s="50">
        <f>+K90+(G90/12)</f>
        <v>2024</v>
      </c>
      <c r="M90" s="51">
        <f>'Depreciation - Orig.'!N73-Depreciation!M89</f>
        <v>49955.399999999994</v>
      </c>
      <c r="N90" s="52">
        <f t="shared" ref="N90" si="87">M90-M90*H90</f>
        <v>49955.399999999994</v>
      </c>
      <c r="O90" s="52">
        <f t="shared" ref="O90" si="88">N90/J90/12</f>
        <v>1387.6499999999999</v>
      </c>
      <c r="P90" s="52">
        <f>+O90*12</f>
        <v>16651.8</v>
      </c>
      <c r="Q90" s="389">
        <f t="shared" si="82"/>
        <v>0</v>
      </c>
      <c r="R90" s="101"/>
      <c r="S90" s="390">
        <f t="shared" si="83"/>
        <v>37466.549999999996</v>
      </c>
      <c r="T90" s="19">
        <f t="shared" si="84"/>
        <v>49955.399999999994</v>
      </c>
      <c r="U90" s="19">
        <f t="shared" si="85"/>
        <v>0</v>
      </c>
      <c r="W90" s="39"/>
      <c r="X90" s="39"/>
    </row>
    <row r="91" spans="1:24">
      <c r="B91" s="15">
        <v>184363</v>
      </c>
      <c r="C91" s="364" t="s">
        <v>331</v>
      </c>
      <c r="D91" s="388">
        <v>9</v>
      </c>
      <c r="E91" s="385" t="s">
        <v>395</v>
      </c>
      <c r="F91" s="15">
        <v>2017</v>
      </c>
      <c r="G91" s="364">
        <v>7</v>
      </c>
      <c r="H91" s="386">
        <v>0</v>
      </c>
      <c r="I91" s="387" t="s">
        <v>86</v>
      </c>
      <c r="J91" s="364">
        <v>10</v>
      </c>
      <c r="K91" s="388">
        <f>F91+J91</f>
        <v>2027</v>
      </c>
      <c r="L91" s="21">
        <f>+K91+(G91/12)</f>
        <v>2027.5833333333333</v>
      </c>
      <c r="M91" s="20">
        <v>338304.94</v>
      </c>
      <c r="N91" s="19">
        <f>M91-M91*H91</f>
        <v>338304.94</v>
      </c>
      <c r="O91" s="19">
        <f>N91/J91/12</f>
        <v>2819.2078333333334</v>
      </c>
      <c r="P91" s="19">
        <f>+O91*12</f>
        <v>33830.493999999999</v>
      </c>
      <c r="Q91" s="419">
        <f t="shared" si="82"/>
        <v>33830.493999999999</v>
      </c>
      <c r="R91" s="101"/>
      <c r="S91" s="390">
        <f t="shared" si="83"/>
        <v>191706.13266666923</v>
      </c>
      <c r="T91" s="19">
        <f t="shared" si="84"/>
        <v>225536.62666666924</v>
      </c>
      <c r="U91" s="19">
        <f t="shared" si="85"/>
        <v>112768.31333333076</v>
      </c>
    </row>
    <row r="92" spans="1:24">
      <c r="B92" s="15">
        <v>131544</v>
      </c>
      <c r="C92" s="364"/>
      <c r="D92" s="388"/>
      <c r="E92" s="385" t="s">
        <v>339</v>
      </c>
      <c r="F92" s="15">
        <v>2016</v>
      </c>
      <c r="G92" s="364">
        <v>3</v>
      </c>
      <c r="H92" s="386">
        <v>0</v>
      </c>
      <c r="I92" s="387" t="s">
        <v>86</v>
      </c>
      <c r="J92" s="364">
        <v>1</v>
      </c>
      <c r="K92" s="388">
        <f t="shared" si="77"/>
        <v>2017</v>
      </c>
      <c r="L92" s="21">
        <f t="shared" si="78"/>
        <v>2017.25</v>
      </c>
      <c r="M92" s="20">
        <f>5975.04/24*3</f>
        <v>746.88</v>
      </c>
      <c r="N92" s="19">
        <f t="shared" si="79"/>
        <v>746.88</v>
      </c>
      <c r="O92" s="19">
        <f t="shared" si="80"/>
        <v>62.24</v>
      </c>
      <c r="P92" s="19">
        <f t="shared" si="81"/>
        <v>746.88</v>
      </c>
      <c r="Q92" s="419">
        <f t="shared" si="82"/>
        <v>0</v>
      </c>
      <c r="R92" s="101"/>
      <c r="S92" s="390">
        <f t="shared" si="83"/>
        <v>746.88</v>
      </c>
      <c r="T92" s="19">
        <f t="shared" si="84"/>
        <v>746.88</v>
      </c>
      <c r="U92" s="19">
        <f t="shared" si="85"/>
        <v>0</v>
      </c>
    </row>
    <row r="93" spans="1:24">
      <c r="B93" s="15">
        <v>165805</v>
      </c>
      <c r="C93" s="364"/>
      <c r="D93" s="388"/>
      <c r="E93" s="385" t="s">
        <v>346</v>
      </c>
      <c r="F93" s="15">
        <v>2016</v>
      </c>
      <c r="G93" s="364">
        <v>6</v>
      </c>
      <c r="H93" s="386">
        <v>0</v>
      </c>
      <c r="I93" s="387" t="s">
        <v>86</v>
      </c>
      <c r="J93" s="364">
        <v>1</v>
      </c>
      <c r="K93" s="388">
        <f t="shared" si="77"/>
        <v>2017</v>
      </c>
      <c r="L93" s="21">
        <f t="shared" si="78"/>
        <v>2017.5</v>
      </c>
      <c r="M93" s="20">
        <f>6255.46/30*3</f>
        <v>625.54600000000005</v>
      </c>
      <c r="N93" s="19">
        <f t="shared" si="79"/>
        <v>625.54600000000005</v>
      </c>
      <c r="O93" s="19">
        <f t="shared" si="80"/>
        <v>52.12883333333334</v>
      </c>
      <c r="P93" s="19">
        <f t="shared" si="81"/>
        <v>625.54600000000005</v>
      </c>
      <c r="Q93" s="419">
        <f t="shared" si="82"/>
        <v>0</v>
      </c>
      <c r="R93" s="101"/>
      <c r="S93" s="390">
        <f t="shared" si="83"/>
        <v>625.54600000000005</v>
      </c>
      <c r="T93" s="19">
        <f t="shared" si="84"/>
        <v>625.54600000000005</v>
      </c>
      <c r="U93" s="19">
        <f t="shared" si="85"/>
        <v>0</v>
      </c>
    </row>
    <row r="94" spans="1:24">
      <c r="B94" s="15">
        <v>169240</v>
      </c>
      <c r="C94" s="364" t="s">
        <v>127</v>
      </c>
      <c r="D94" s="388"/>
      <c r="E94" s="385" t="s">
        <v>357</v>
      </c>
      <c r="F94" s="15">
        <v>2016</v>
      </c>
      <c r="G94" s="364">
        <v>10</v>
      </c>
      <c r="H94" s="386">
        <v>0</v>
      </c>
      <c r="I94" s="387" t="s">
        <v>86</v>
      </c>
      <c r="J94" s="364">
        <v>5</v>
      </c>
      <c r="K94" s="388">
        <f t="shared" si="77"/>
        <v>2021</v>
      </c>
      <c r="L94" s="21">
        <f t="shared" si="78"/>
        <v>2021.8333333333333</v>
      </c>
      <c r="M94" s="20">
        <v>45489</v>
      </c>
      <c r="N94" s="19">
        <f t="shared" si="79"/>
        <v>45489</v>
      </c>
      <c r="O94" s="19">
        <f t="shared" si="80"/>
        <v>758.15</v>
      </c>
      <c r="P94" s="19">
        <f t="shared" si="81"/>
        <v>9097.7999999999993</v>
      </c>
      <c r="Q94" s="419">
        <f t="shared" si="82"/>
        <v>0</v>
      </c>
      <c r="R94" s="101"/>
      <c r="S94" s="390">
        <f t="shared" si="83"/>
        <v>45489</v>
      </c>
      <c r="T94" s="19">
        <f t="shared" si="84"/>
        <v>45489</v>
      </c>
      <c r="U94" s="19">
        <f t="shared" si="85"/>
        <v>0</v>
      </c>
    </row>
    <row r="95" spans="1:24">
      <c r="B95" s="15">
        <v>171078</v>
      </c>
      <c r="C95" s="364"/>
      <c r="D95" s="388"/>
      <c r="E95" s="385" t="s">
        <v>356</v>
      </c>
      <c r="F95" s="15">
        <v>2016</v>
      </c>
      <c r="G95" s="364">
        <v>12</v>
      </c>
      <c r="H95" s="386">
        <v>0</v>
      </c>
      <c r="I95" s="387" t="s">
        <v>86</v>
      </c>
      <c r="J95" s="364">
        <v>5</v>
      </c>
      <c r="K95" s="388">
        <f t="shared" si="77"/>
        <v>2021</v>
      </c>
      <c r="L95" s="21">
        <f t="shared" si="78"/>
        <v>2022</v>
      </c>
      <c r="M95" s="20">
        <f>22670.1/26*4</f>
        <v>3487.707692307692</v>
      </c>
      <c r="N95" s="19">
        <f t="shared" si="79"/>
        <v>3487.707692307692</v>
      </c>
      <c r="O95" s="19">
        <f t="shared" si="80"/>
        <v>58.128461538461529</v>
      </c>
      <c r="P95" s="19">
        <f t="shared" si="81"/>
        <v>697.54153846153838</v>
      </c>
      <c r="Q95" s="419">
        <f t="shared" si="82"/>
        <v>0</v>
      </c>
      <c r="R95" s="101"/>
      <c r="S95" s="390">
        <f t="shared" si="83"/>
        <v>3487.707692307692</v>
      </c>
      <c r="T95" s="19">
        <f t="shared" si="84"/>
        <v>3487.707692307692</v>
      </c>
      <c r="U95" s="19">
        <f t="shared" si="85"/>
        <v>0</v>
      </c>
    </row>
    <row r="96" spans="1:24">
      <c r="B96" s="15">
        <v>240179</v>
      </c>
      <c r="C96" s="364"/>
      <c r="D96" s="388">
        <v>47</v>
      </c>
      <c r="E96" s="385" t="s">
        <v>535</v>
      </c>
      <c r="F96" s="15">
        <v>2020</v>
      </c>
      <c r="G96" s="364">
        <v>8</v>
      </c>
      <c r="H96" s="386">
        <v>0</v>
      </c>
      <c r="I96" s="387" t="s">
        <v>86</v>
      </c>
      <c r="J96" s="364">
        <v>10</v>
      </c>
      <c r="K96" s="388">
        <f>F96+J96</f>
        <v>2030</v>
      </c>
      <c r="L96" s="21">
        <f>+K96+(G96/12)</f>
        <v>2030.6666666666667</v>
      </c>
      <c r="M96" s="20">
        <v>365750.47</v>
      </c>
      <c r="N96" s="19">
        <f t="shared" ref="N96" si="89">M96-M96*H96</f>
        <v>365750.47</v>
      </c>
      <c r="O96" s="19">
        <f t="shared" ref="O96" si="90">N96/J96/12</f>
        <v>3047.9205833333331</v>
      </c>
      <c r="P96" s="19">
        <f t="shared" ref="P96" si="91">+O96*12</f>
        <v>36575.046999999999</v>
      </c>
      <c r="Q96" s="419">
        <f t="shared" si="82"/>
        <v>36575.046999999999</v>
      </c>
      <c r="R96" s="101"/>
      <c r="S96" s="390">
        <f t="shared" si="83"/>
        <v>94485.538083330553</v>
      </c>
      <c r="T96" s="19">
        <f t="shared" si="84"/>
        <v>131060.58508333054</v>
      </c>
      <c r="U96" s="19">
        <f t="shared" si="85"/>
        <v>234689.88491666943</v>
      </c>
    </row>
    <row r="97" spans="1:42">
      <c r="B97" s="15">
        <v>240612</v>
      </c>
      <c r="C97" s="364"/>
      <c r="D97" s="388"/>
      <c r="E97" s="385" t="s">
        <v>562</v>
      </c>
      <c r="F97" s="15">
        <v>2020</v>
      </c>
      <c r="G97" s="364">
        <v>9</v>
      </c>
      <c r="H97" s="386">
        <v>0</v>
      </c>
      <c r="I97" s="387" t="s">
        <v>86</v>
      </c>
      <c r="J97" s="364">
        <v>5</v>
      </c>
      <c r="K97" s="388">
        <f t="shared" ref="K97" si="92">F97+J97</f>
        <v>2025</v>
      </c>
      <c r="L97" s="21">
        <f t="shared" ref="L97" si="93">+K97+(G97/12)</f>
        <v>2025.75</v>
      </c>
      <c r="M97" s="20">
        <v>29610.2</v>
      </c>
      <c r="N97" s="19">
        <f t="shared" ref="N97" si="94">M97-M97*H97</f>
        <v>29610.2</v>
      </c>
      <c r="O97" s="19">
        <f t="shared" ref="O97" si="95">N97/J97/12</f>
        <v>493.50333333333333</v>
      </c>
      <c r="P97" s="19">
        <f t="shared" ref="P97" si="96">+O97*12</f>
        <v>5922.04</v>
      </c>
      <c r="Q97" s="419">
        <f t="shared" si="82"/>
        <v>5922.04</v>
      </c>
      <c r="R97" s="101"/>
      <c r="S97" s="390">
        <f t="shared" si="83"/>
        <v>14805.1</v>
      </c>
      <c r="T97" s="19">
        <f t="shared" si="84"/>
        <v>20727.14</v>
      </c>
      <c r="U97" s="19">
        <f t="shared" si="85"/>
        <v>8883.0600000000013</v>
      </c>
    </row>
    <row r="98" spans="1:42">
      <c r="C98" s="364"/>
      <c r="D98" s="364"/>
      <c r="E98" s="385"/>
      <c r="H98" s="386"/>
      <c r="I98" s="387"/>
      <c r="K98" s="388"/>
      <c r="M98" s="20"/>
      <c r="N98" s="19"/>
      <c r="O98" s="19"/>
      <c r="P98" s="19"/>
      <c r="Q98" s="19"/>
      <c r="R98" s="19"/>
      <c r="S98" s="19"/>
      <c r="T98" s="19"/>
      <c r="U98" s="19"/>
    </row>
    <row r="99" spans="1:42">
      <c r="C99" s="364"/>
      <c r="E99" s="412" t="s">
        <v>130</v>
      </c>
      <c r="F99" s="413"/>
      <c r="G99" s="414"/>
      <c r="H99" s="415"/>
      <c r="I99" s="416"/>
      <c r="J99" s="414"/>
      <c r="K99" s="417"/>
      <c r="L99" s="413"/>
      <c r="M99" s="27">
        <f>SUM(M89:M98)</f>
        <v>1033791.7436923075</v>
      </c>
      <c r="N99" s="27">
        <f t="shared" ref="N99:U99" si="97">SUM(N89:N98)</f>
        <v>1033791.7436923075</v>
      </c>
      <c r="O99" s="27">
        <f t="shared" si="97"/>
        <v>11057.757616300367</v>
      </c>
      <c r="P99" s="27">
        <f t="shared" si="97"/>
        <v>132693.0913956044</v>
      </c>
      <c r="Q99" s="27">
        <f t="shared" si="97"/>
        <v>76327.580999999991</v>
      </c>
      <c r="R99" s="27">
        <f t="shared" si="97"/>
        <v>0</v>
      </c>
      <c r="S99" s="27">
        <f t="shared" si="97"/>
        <v>588634.05444230745</v>
      </c>
      <c r="T99" s="27">
        <f t="shared" si="97"/>
        <v>677450.48544230743</v>
      </c>
      <c r="U99" s="27">
        <f t="shared" si="97"/>
        <v>356341.25825000019</v>
      </c>
    </row>
    <row r="100" spans="1:42">
      <c r="C100" s="385"/>
      <c r="E100" s="385"/>
      <c r="H100" s="386"/>
      <c r="I100" s="423"/>
      <c r="K100" s="388"/>
      <c r="N100" s="366"/>
      <c r="O100" s="366"/>
      <c r="P100" s="19"/>
      <c r="Q100" s="19"/>
      <c r="R100" s="366"/>
      <c r="S100" s="366"/>
      <c r="T100" s="366"/>
      <c r="U100" s="366"/>
    </row>
    <row r="101" spans="1:42">
      <c r="C101" s="364"/>
      <c r="D101" s="422"/>
      <c r="E101" s="366"/>
      <c r="F101" s="388"/>
      <c r="G101" s="387"/>
      <c r="H101" s="387"/>
      <c r="I101" s="387"/>
      <c r="K101" s="388"/>
      <c r="M101" s="422"/>
      <c r="N101" s="366"/>
      <c r="O101" s="366"/>
      <c r="P101" s="19"/>
      <c r="Q101" s="19"/>
      <c r="R101" s="366"/>
      <c r="S101" s="366"/>
      <c r="T101" s="366"/>
      <c r="U101" s="366"/>
    </row>
    <row r="102" spans="1:42">
      <c r="C102" s="364"/>
      <c r="E102" s="410" t="s">
        <v>629</v>
      </c>
      <c r="I102" s="387"/>
      <c r="K102" s="388"/>
      <c r="N102" s="366"/>
      <c r="O102" s="366"/>
      <c r="P102" s="19"/>
      <c r="Q102" s="19"/>
      <c r="R102" s="366"/>
      <c r="S102" s="366"/>
      <c r="T102" s="366"/>
      <c r="U102" s="366"/>
    </row>
    <row r="103" spans="1:42">
      <c r="C103" s="364" t="s">
        <v>132</v>
      </c>
      <c r="D103" s="15">
        <v>20</v>
      </c>
      <c r="E103" s="418" t="s">
        <v>133</v>
      </c>
      <c r="F103" s="15">
        <v>1999</v>
      </c>
      <c r="G103" s="364">
        <v>12</v>
      </c>
      <c r="H103" s="386">
        <v>0</v>
      </c>
      <c r="I103" s="387" t="s">
        <v>86</v>
      </c>
      <c r="J103" s="364">
        <v>5</v>
      </c>
      <c r="K103" s="388">
        <v>2004</v>
      </c>
      <c r="L103" s="21">
        <f t="shared" ref="L103:L119" si="98">+K103+(G103/12)</f>
        <v>2005</v>
      </c>
      <c r="M103" s="24">
        <f>'Depreciation - Orig.'!P90</f>
        <v>15505.81</v>
      </c>
      <c r="N103" s="19">
        <f t="shared" ref="N103:N119" si="99">M103-M103*H103</f>
        <v>15505.81</v>
      </c>
      <c r="O103" s="19">
        <v>258.43016666666665</v>
      </c>
      <c r="P103" s="19">
        <f t="shared" ref="P103:P119" si="100">+O103*12</f>
        <v>3101.1619999999998</v>
      </c>
      <c r="Q103" s="419">
        <f t="shared" ref="Q103:Q121" si="101">+IF(L103&gt;$N$6,P103,0)</f>
        <v>0</v>
      </c>
      <c r="R103" s="101"/>
      <c r="S103" s="390">
        <f t="shared" ref="S103:S121" si="102">+IF($L103&lt;=$N$7,$M103,IF(($F103+($G103/12))&gt;=$N$7,0,((($N103-((($L103-$N$7)*12)*$O103))))))</f>
        <v>15505.81</v>
      </c>
      <c r="T103" s="19">
        <f t="shared" ref="T103:T121" si="103">IF(L103&lt;=$N$6,M103,Q103+S103)</f>
        <v>15505.81</v>
      </c>
      <c r="U103" s="19">
        <f t="shared" ref="U103:U121" si="104">+M103-T103</f>
        <v>0</v>
      </c>
    </row>
    <row r="104" spans="1:42">
      <c r="A104" s="391"/>
      <c r="B104" s="391"/>
      <c r="C104" s="392"/>
      <c r="D104" s="391"/>
      <c r="E104" s="393" t="s">
        <v>511</v>
      </c>
      <c r="F104" s="391">
        <v>2020</v>
      </c>
      <c r="G104" s="392">
        <v>12</v>
      </c>
      <c r="H104" s="394">
        <v>0</v>
      </c>
      <c r="I104" s="395" t="s">
        <v>86</v>
      </c>
      <c r="J104" s="392">
        <v>3</v>
      </c>
      <c r="K104" s="396">
        <f t="shared" ref="K104" si="105">F104+J104</f>
        <v>2023</v>
      </c>
      <c r="L104" s="50">
        <f>+K104+(G104/12)</f>
        <v>2024</v>
      </c>
      <c r="M104" s="51">
        <f>'Depreciation - Orig.'!N90-Depreciation!M103</f>
        <v>26235.190000000002</v>
      </c>
      <c r="N104" s="52">
        <f t="shared" ref="N104" si="106">M104-M104*H104</f>
        <v>26235.190000000002</v>
      </c>
      <c r="O104" s="52">
        <f t="shared" ref="O104" si="107">N104/J104/12</f>
        <v>728.75527777777779</v>
      </c>
      <c r="P104" s="52">
        <f>+O104*12</f>
        <v>8745.0633333333335</v>
      </c>
      <c r="Q104" s="389">
        <f>+IF(L104&gt;$N$6,P104,0)</f>
        <v>0</v>
      </c>
      <c r="R104" s="101"/>
      <c r="S104" s="390">
        <f>+IF($L104&lt;=$N$7,$M104,IF(($F104+($G104/12))&gt;=$N$7,0,((($N104-((($L104-$N$7)*12)*$O104))))))</f>
        <v>19676.392500000002</v>
      </c>
      <c r="T104" s="19">
        <f t="shared" si="103"/>
        <v>26235.190000000002</v>
      </c>
      <c r="U104" s="19">
        <f t="shared" si="104"/>
        <v>0</v>
      </c>
      <c r="W104" s="39"/>
      <c r="X104" s="39"/>
    </row>
    <row r="107" spans="1:42">
      <c r="C107" s="364" t="s">
        <v>99</v>
      </c>
      <c r="D107" s="15">
        <v>35</v>
      </c>
      <c r="E107" s="385" t="s">
        <v>104</v>
      </c>
      <c r="F107" s="15">
        <v>2009</v>
      </c>
      <c r="G107" s="364">
        <v>12</v>
      </c>
      <c r="H107" s="386">
        <v>0</v>
      </c>
      <c r="I107" s="387" t="s">
        <v>86</v>
      </c>
      <c r="J107" s="364">
        <v>7</v>
      </c>
      <c r="K107" s="388">
        <f>F107+J107</f>
        <v>2016</v>
      </c>
      <c r="L107" s="21">
        <f>+K107+(G107/12)</f>
        <v>2017</v>
      </c>
      <c r="M107" s="20">
        <f>'Depreciation - Orig.'!P22</f>
        <v>114562.84</v>
      </c>
      <c r="N107" s="19">
        <f>M107-M107*H107</f>
        <v>114562.84</v>
      </c>
      <c r="O107" s="19">
        <f>N107/J107/12</f>
        <v>1363.8433333333332</v>
      </c>
      <c r="P107" s="19">
        <f>+O107*12</f>
        <v>16366.119999999999</v>
      </c>
      <c r="Q107" s="419">
        <f t="shared" si="101"/>
        <v>0</v>
      </c>
      <c r="R107" s="101"/>
      <c r="S107" s="390">
        <f t="shared" si="102"/>
        <v>114562.84</v>
      </c>
      <c r="T107" s="19">
        <f t="shared" si="103"/>
        <v>114562.84</v>
      </c>
      <c r="U107" s="19">
        <f t="shared" si="104"/>
        <v>0</v>
      </c>
    </row>
    <row r="108" spans="1:42">
      <c r="A108" s="391"/>
      <c r="B108" s="391"/>
      <c r="C108" s="392"/>
      <c r="D108" s="391"/>
      <c r="E108" s="393" t="s">
        <v>494</v>
      </c>
      <c r="F108" s="391">
        <v>2020</v>
      </c>
      <c r="G108" s="392">
        <v>12</v>
      </c>
      <c r="H108" s="394">
        <v>0</v>
      </c>
      <c r="I108" s="395" t="s">
        <v>86</v>
      </c>
      <c r="J108" s="392">
        <v>3</v>
      </c>
      <c r="K108" s="396">
        <f t="shared" ref="K108" si="108">F108+J108</f>
        <v>2023</v>
      </c>
      <c r="L108" s="50">
        <f>+K108+(G108/12)</f>
        <v>2024</v>
      </c>
      <c r="M108" s="51">
        <f>'Depreciation - Orig.'!N22-Depreciation!M107</f>
        <v>28640.709999999992</v>
      </c>
      <c r="N108" s="52">
        <f t="shared" ref="N108" si="109">M108-M108*H108</f>
        <v>28640.709999999992</v>
      </c>
      <c r="O108" s="52">
        <f t="shared" ref="O108" si="110">N108/J108/12</f>
        <v>795.5752777777775</v>
      </c>
      <c r="P108" s="52">
        <f>+O108*12</f>
        <v>9546.90333333333</v>
      </c>
      <c r="Q108" s="389">
        <f t="shared" si="101"/>
        <v>0</v>
      </c>
      <c r="R108" s="101"/>
      <c r="S108" s="390">
        <f t="shared" si="102"/>
        <v>21480.532499999994</v>
      </c>
      <c r="T108" s="19">
        <f t="shared" si="103"/>
        <v>28640.709999999992</v>
      </c>
      <c r="U108" s="19">
        <f t="shared" si="104"/>
        <v>0</v>
      </c>
      <c r="W108" s="39"/>
      <c r="X108" s="39"/>
    </row>
    <row r="109" spans="1:42">
      <c r="C109" s="364" t="s">
        <v>99</v>
      </c>
      <c r="D109" s="15">
        <v>36</v>
      </c>
      <c r="E109" s="385" t="s">
        <v>105</v>
      </c>
      <c r="F109" s="15">
        <v>2009</v>
      </c>
      <c r="G109" s="364">
        <v>12</v>
      </c>
      <c r="H109" s="386">
        <v>0</v>
      </c>
      <c r="I109" s="387" t="s">
        <v>86</v>
      </c>
      <c r="J109" s="364">
        <v>7</v>
      </c>
      <c r="K109" s="388">
        <f>F109+J109</f>
        <v>2016</v>
      </c>
      <c r="L109" s="21">
        <f>+K109+(G109/12)</f>
        <v>2017</v>
      </c>
      <c r="M109" s="20">
        <f>'Depreciation - Orig.'!P23</f>
        <v>108040.84</v>
      </c>
      <c r="N109" s="19">
        <f>M109-M109*H109</f>
        <v>108040.84</v>
      </c>
      <c r="O109" s="19">
        <f>N109/J109/12</f>
        <v>1286.2004761904761</v>
      </c>
      <c r="P109" s="19">
        <f>+O109*12</f>
        <v>15434.405714285713</v>
      </c>
      <c r="Q109" s="419">
        <f t="shared" si="101"/>
        <v>0</v>
      </c>
      <c r="R109" s="101"/>
      <c r="S109" s="390">
        <f t="shared" si="102"/>
        <v>108040.84</v>
      </c>
      <c r="T109" s="19">
        <f t="shared" si="103"/>
        <v>108040.84</v>
      </c>
      <c r="U109" s="19">
        <f t="shared" si="104"/>
        <v>0</v>
      </c>
    </row>
    <row r="110" spans="1:42">
      <c r="A110" s="391"/>
      <c r="B110" s="391"/>
      <c r="C110" s="392"/>
      <c r="D110" s="391"/>
      <c r="E110" s="393" t="s">
        <v>495</v>
      </c>
      <c r="F110" s="391">
        <v>2020</v>
      </c>
      <c r="G110" s="392">
        <v>12</v>
      </c>
      <c r="H110" s="394">
        <v>0</v>
      </c>
      <c r="I110" s="395" t="s">
        <v>86</v>
      </c>
      <c r="J110" s="392">
        <v>3</v>
      </c>
      <c r="K110" s="396">
        <f t="shared" ref="K110" si="111">F110+J110</f>
        <v>2023</v>
      </c>
      <c r="L110" s="50">
        <f>+K110+(G110/12)</f>
        <v>2024</v>
      </c>
      <c r="M110" s="51">
        <f>'Depreciation - Orig.'!N23-Depreciation!M109</f>
        <v>27010.209999999992</v>
      </c>
      <c r="N110" s="52">
        <f t="shared" ref="N110" si="112">M110-M110*H110</f>
        <v>27010.209999999992</v>
      </c>
      <c r="O110" s="52">
        <f t="shared" ref="O110" si="113">N110/J110/12</f>
        <v>750.28361111111087</v>
      </c>
      <c r="P110" s="52">
        <f>+O110*12</f>
        <v>9003.40333333333</v>
      </c>
      <c r="Q110" s="389">
        <f t="shared" si="101"/>
        <v>0</v>
      </c>
      <c r="R110" s="101"/>
      <c r="S110" s="390">
        <f t="shared" si="102"/>
        <v>20257.657499999994</v>
      </c>
      <c r="T110" s="19">
        <f t="shared" si="103"/>
        <v>27010.209999999992</v>
      </c>
      <c r="U110" s="19">
        <f t="shared" si="104"/>
        <v>0</v>
      </c>
      <c r="W110" s="39"/>
      <c r="X110" s="39"/>
    </row>
    <row r="111" spans="1:42">
      <c r="C111" s="364" t="s">
        <v>137</v>
      </c>
      <c r="D111" s="15">
        <v>8009</v>
      </c>
      <c r="E111" s="385" t="s">
        <v>138</v>
      </c>
      <c r="F111" s="15">
        <v>2010</v>
      </c>
      <c r="G111" s="364">
        <v>1</v>
      </c>
      <c r="H111" s="386">
        <v>0</v>
      </c>
      <c r="I111" s="387" t="s">
        <v>86</v>
      </c>
      <c r="J111" s="364">
        <v>5</v>
      </c>
      <c r="K111" s="388">
        <f t="shared" ref="K111:K119" si="114">F111+J111</f>
        <v>2015</v>
      </c>
      <c r="L111" s="21">
        <f t="shared" si="98"/>
        <v>2015.0833333333333</v>
      </c>
      <c r="M111" s="24">
        <f>'Depreciation - Orig.'!P94</f>
        <v>3631.3999999999996</v>
      </c>
      <c r="N111" s="19">
        <f t="shared" si="99"/>
        <v>3631.3999999999996</v>
      </c>
      <c r="O111" s="19">
        <f t="shared" ref="O111:O119" si="115">N111/J111/12</f>
        <v>60.523333333333333</v>
      </c>
      <c r="P111" s="19">
        <f t="shared" si="100"/>
        <v>726.28</v>
      </c>
      <c r="Q111" s="419">
        <f t="shared" si="101"/>
        <v>0</v>
      </c>
      <c r="R111" s="101"/>
      <c r="S111" s="390">
        <f t="shared" si="102"/>
        <v>3631.3999999999996</v>
      </c>
      <c r="T111" s="19">
        <f t="shared" si="103"/>
        <v>3631.3999999999996</v>
      </c>
      <c r="U111" s="19">
        <f t="shared" si="104"/>
        <v>0</v>
      </c>
      <c r="AP111" s="15" t="s">
        <v>139</v>
      </c>
    </row>
    <row r="112" spans="1:42">
      <c r="A112" s="391"/>
      <c r="B112" s="391"/>
      <c r="C112" s="392"/>
      <c r="D112" s="391"/>
      <c r="E112" s="393" t="s">
        <v>514</v>
      </c>
      <c r="F112" s="391">
        <v>2020</v>
      </c>
      <c r="G112" s="392">
        <v>12</v>
      </c>
      <c r="H112" s="394">
        <v>0</v>
      </c>
      <c r="I112" s="395" t="s">
        <v>86</v>
      </c>
      <c r="J112" s="392">
        <v>3</v>
      </c>
      <c r="K112" s="396">
        <f t="shared" si="114"/>
        <v>2023</v>
      </c>
      <c r="L112" s="50">
        <f>+K112+(G112/12)</f>
        <v>2024</v>
      </c>
      <c r="M112" s="51">
        <f>'Depreciation - Orig.'!N94-Depreciation!M111</f>
        <v>1788.6000000000004</v>
      </c>
      <c r="N112" s="52">
        <f t="shared" si="99"/>
        <v>1788.6000000000004</v>
      </c>
      <c r="O112" s="52">
        <f t="shared" si="115"/>
        <v>49.683333333333344</v>
      </c>
      <c r="P112" s="52">
        <f>+O112*12</f>
        <v>596.20000000000016</v>
      </c>
      <c r="Q112" s="389">
        <f t="shared" si="101"/>
        <v>0</v>
      </c>
      <c r="R112" s="101"/>
      <c r="S112" s="390">
        <f t="shared" si="102"/>
        <v>1341.4500000000003</v>
      </c>
      <c r="T112" s="19">
        <f t="shared" si="103"/>
        <v>1788.6000000000004</v>
      </c>
      <c r="U112" s="19">
        <f t="shared" si="104"/>
        <v>0</v>
      </c>
      <c r="W112" s="39"/>
      <c r="X112" s="39"/>
    </row>
    <row r="113" spans="1:24">
      <c r="C113" s="364" t="s">
        <v>2</v>
      </c>
      <c r="D113" s="388">
        <v>3</v>
      </c>
      <c r="E113" s="385" t="s">
        <v>140</v>
      </c>
      <c r="F113" s="15">
        <v>2010</v>
      </c>
      <c r="G113" s="364">
        <v>3</v>
      </c>
      <c r="H113" s="386">
        <v>0</v>
      </c>
      <c r="I113" s="387" t="s">
        <v>86</v>
      </c>
      <c r="J113" s="364">
        <v>7</v>
      </c>
      <c r="K113" s="388">
        <f t="shared" si="114"/>
        <v>2017</v>
      </c>
      <c r="L113" s="21">
        <f t="shared" si="98"/>
        <v>2017.25</v>
      </c>
      <c r="M113" s="20">
        <f>'Depreciation - Orig.'!P95</f>
        <v>1862.616</v>
      </c>
      <c r="N113" s="19">
        <f t="shared" si="99"/>
        <v>1862.616</v>
      </c>
      <c r="O113" s="19">
        <f t="shared" si="115"/>
        <v>22.174000000000003</v>
      </c>
      <c r="P113" s="19">
        <f t="shared" si="100"/>
        <v>266.08800000000002</v>
      </c>
      <c r="Q113" s="419">
        <f t="shared" si="101"/>
        <v>0</v>
      </c>
      <c r="R113" s="101"/>
      <c r="S113" s="390">
        <f t="shared" si="102"/>
        <v>1862.616</v>
      </c>
      <c r="T113" s="19">
        <f t="shared" si="103"/>
        <v>1862.616</v>
      </c>
      <c r="U113" s="19">
        <f t="shared" si="104"/>
        <v>0</v>
      </c>
    </row>
    <row r="114" spans="1:24">
      <c r="A114" s="391"/>
      <c r="B114" s="391"/>
      <c r="C114" s="392"/>
      <c r="D114" s="391"/>
      <c r="E114" s="393" t="s">
        <v>515</v>
      </c>
      <c r="F114" s="391">
        <v>2020</v>
      </c>
      <c r="G114" s="392">
        <v>12</v>
      </c>
      <c r="H114" s="394">
        <v>0</v>
      </c>
      <c r="I114" s="395" t="s">
        <v>86</v>
      </c>
      <c r="J114" s="392">
        <v>3</v>
      </c>
      <c r="K114" s="396">
        <f t="shared" si="114"/>
        <v>2023</v>
      </c>
      <c r="L114" s="50">
        <f>+K114+(G114/12)</f>
        <v>2024</v>
      </c>
      <c r="M114" s="51">
        <f>'Depreciation - Orig.'!N95-Depreciation!M113</f>
        <v>465.654</v>
      </c>
      <c r="N114" s="52">
        <f t="shared" si="99"/>
        <v>465.654</v>
      </c>
      <c r="O114" s="52">
        <f t="shared" si="115"/>
        <v>12.934833333333332</v>
      </c>
      <c r="P114" s="52">
        <f>+O114*12</f>
        <v>155.21799999999999</v>
      </c>
      <c r="Q114" s="389">
        <f t="shared" si="101"/>
        <v>0</v>
      </c>
      <c r="R114" s="101"/>
      <c r="S114" s="390">
        <f t="shared" si="102"/>
        <v>349.2405</v>
      </c>
      <c r="T114" s="19">
        <f t="shared" si="103"/>
        <v>465.654</v>
      </c>
      <c r="U114" s="19">
        <f t="shared" si="104"/>
        <v>0</v>
      </c>
      <c r="W114" s="39"/>
      <c r="X114" s="39"/>
    </row>
    <row r="115" spans="1:24">
      <c r="B115" s="15">
        <v>131544</v>
      </c>
      <c r="C115" s="364"/>
      <c r="D115" s="388"/>
      <c r="E115" s="385" t="s">
        <v>339</v>
      </c>
      <c r="F115" s="15">
        <v>2016</v>
      </c>
      <c r="G115" s="364">
        <v>3</v>
      </c>
      <c r="H115" s="386">
        <v>0</v>
      </c>
      <c r="I115" s="387" t="s">
        <v>86</v>
      </c>
      <c r="J115" s="364">
        <v>1</v>
      </c>
      <c r="K115" s="388">
        <f t="shared" si="114"/>
        <v>2017</v>
      </c>
      <c r="L115" s="21">
        <f t="shared" si="98"/>
        <v>2017.25</v>
      </c>
      <c r="M115" s="20">
        <f>5975.04/24*3</f>
        <v>746.88</v>
      </c>
      <c r="N115" s="19">
        <f t="shared" si="99"/>
        <v>746.88</v>
      </c>
      <c r="O115" s="19">
        <f t="shared" si="115"/>
        <v>62.24</v>
      </c>
      <c r="P115" s="19">
        <f t="shared" si="100"/>
        <v>746.88</v>
      </c>
      <c r="Q115" s="419">
        <f t="shared" si="101"/>
        <v>0</v>
      </c>
      <c r="R115" s="101"/>
      <c r="S115" s="390">
        <f t="shared" si="102"/>
        <v>746.88</v>
      </c>
      <c r="T115" s="19">
        <f t="shared" si="103"/>
        <v>746.88</v>
      </c>
      <c r="U115" s="19">
        <f t="shared" si="104"/>
        <v>0</v>
      </c>
    </row>
    <row r="116" spans="1:24">
      <c r="B116" s="15">
        <v>165805</v>
      </c>
      <c r="C116" s="364"/>
      <c r="D116" s="388"/>
      <c r="E116" s="385" t="s">
        <v>346</v>
      </c>
      <c r="F116" s="15">
        <v>2016</v>
      </c>
      <c r="G116" s="364">
        <v>6</v>
      </c>
      <c r="H116" s="386">
        <v>0</v>
      </c>
      <c r="I116" s="387" t="s">
        <v>86</v>
      </c>
      <c r="J116" s="364">
        <v>1</v>
      </c>
      <c r="K116" s="388">
        <f t="shared" si="114"/>
        <v>2017</v>
      </c>
      <c r="L116" s="21">
        <f t="shared" si="98"/>
        <v>2017.5</v>
      </c>
      <c r="M116" s="20">
        <f>6255.46/30*3</f>
        <v>625.54600000000005</v>
      </c>
      <c r="N116" s="19">
        <f t="shared" si="99"/>
        <v>625.54600000000005</v>
      </c>
      <c r="O116" s="19">
        <f t="shared" si="115"/>
        <v>52.12883333333334</v>
      </c>
      <c r="P116" s="19">
        <f t="shared" si="100"/>
        <v>625.54600000000005</v>
      </c>
      <c r="Q116" s="419">
        <f t="shared" si="101"/>
        <v>0</v>
      </c>
      <c r="R116" s="101"/>
      <c r="S116" s="390">
        <f t="shared" si="102"/>
        <v>625.54600000000005</v>
      </c>
      <c r="T116" s="19">
        <f t="shared" si="103"/>
        <v>625.54600000000005</v>
      </c>
      <c r="U116" s="19">
        <f t="shared" si="104"/>
        <v>0</v>
      </c>
    </row>
    <row r="117" spans="1:24">
      <c r="B117" s="15">
        <v>171078</v>
      </c>
      <c r="C117" s="364"/>
      <c r="D117" s="388"/>
      <c r="E117" s="385" t="s">
        <v>356</v>
      </c>
      <c r="F117" s="15">
        <v>2016</v>
      </c>
      <c r="G117" s="364">
        <v>12</v>
      </c>
      <c r="H117" s="386">
        <v>0</v>
      </c>
      <c r="I117" s="387" t="s">
        <v>86</v>
      </c>
      <c r="J117" s="364">
        <v>5</v>
      </c>
      <c r="K117" s="388">
        <f t="shared" si="114"/>
        <v>2021</v>
      </c>
      <c r="L117" s="21">
        <f t="shared" si="98"/>
        <v>2022</v>
      </c>
      <c r="M117" s="20">
        <f>22670.1/26*4</f>
        <v>3487.707692307692</v>
      </c>
      <c r="N117" s="19">
        <f t="shared" si="99"/>
        <v>3487.707692307692</v>
      </c>
      <c r="O117" s="19">
        <f t="shared" si="115"/>
        <v>58.128461538461529</v>
      </c>
      <c r="P117" s="19">
        <f t="shared" si="100"/>
        <v>697.54153846153838</v>
      </c>
      <c r="Q117" s="419">
        <f t="shared" si="101"/>
        <v>0</v>
      </c>
      <c r="R117" s="101"/>
      <c r="S117" s="390">
        <f t="shared" si="102"/>
        <v>3487.707692307692</v>
      </c>
      <c r="T117" s="19">
        <f t="shared" si="103"/>
        <v>3487.707692307692</v>
      </c>
      <c r="U117" s="19">
        <f t="shared" si="104"/>
        <v>0</v>
      </c>
    </row>
    <row r="118" spans="1:24">
      <c r="B118" s="15">
        <v>171238</v>
      </c>
      <c r="C118" s="364"/>
      <c r="E118" s="385" t="s">
        <v>358</v>
      </c>
      <c r="F118" s="15">
        <v>2016</v>
      </c>
      <c r="G118" s="364">
        <v>11</v>
      </c>
      <c r="H118" s="386">
        <v>0</v>
      </c>
      <c r="I118" s="387" t="s">
        <v>86</v>
      </c>
      <c r="J118" s="364">
        <v>10</v>
      </c>
      <c r="K118" s="388">
        <f t="shared" si="114"/>
        <v>2026</v>
      </c>
      <c r="L118" s="21">
        <f t="shared" si="98"/>
        <v>2026.9166666666667</v>
      </c>
      <c r="M118" s="20">
        <v>79510.149999999994</v>
      </c>
      <c r="N118" s="19">
        <f t="shared" si="99"/>
        <v>79510.149999999994</v>
      </c>
      <c r="O118" s="19">
        <f t="shared" si="115"/>
        <v>662.58458333333328</v>
      </c>
      <c r="P118" s="19">
        <f t="shared" si="100"/>
        <v>7951.0149999999994</v>
      </c>
      <c r="Q118" s="419">
        <f t="shared" si="101"/>
        <v>7951.0149999999994</v>
      </c>
      <c r="R118" s="101"/>
      <c r="S118" s="390">
        <f t="shared" si="102"/>
        <v>50356.428333332726</v>
      </c>
      <c r="T118" s="19">
        <f t="shared" si="103"/>
        <v>58307.443333332725</v>
      </c>
      <c r="U118" s="19">
        <f t="shared" si="104"/>
        <v>21202.706666667269</v>
      </c>
    </row>
    <row r="119" spans="1:24">
      <c r="B119" s="15" t="s">
        <v>387</v>
      </c>
      <c r="C119" s="364"/>
      <c r="E119" s="385" t="s">
        <v>388</v>
      </c>
      <c r="F119" s="15">
        <v>2017</v>
      </c>
      <c r="G119" s="364">
        <v>1</v>
      </c>
      <c r="H119" s="386">
        <v>0</v>
      </c>
      <c r="I119" s="387" t="s">
        <v>86</v>
      </c>
      <c r="J119" s="364">
        <v>9.11</v>
      </c>
      <c r="K119" s="397">
        <f t="shared" si="114"/>
        <v>2026.11</v>
      </c>
      <c r="L119" s="21">
        <f t="shared" si="98"/>
        <v>2026.1933333333332</v>
      </c>
      <c r="M119" s="20">
        <v>8492.0300000000007</v>
      </c>
      <c r="N119" s="19">
        <f t="shared" si="99"/>
        <v>8492.0300000000007</v>
      </c>
      <c r="O119" s="19">
        <f t="shared" si="115"/>
        <v>77.680479326747175</v>
      </c>
      <c r="P119" s="19">
        <f t="shared" si="100"/>
        <v>932.16575192096616</v>
      </c>
      <c r="Q119" s="419">
        <f t="shared" si="101"/>
        <v>932.16575192096616</v>
      </c>
      <c r="R119" s="101"/>
      <c r="S119" s="390">
        <f t="shared" si="102"/>
        <v>5748.3554701794546</v>
      </c>
      <c r="T119" s="19">
        <f t="shared" si="103"/>
        <v>6680.5212221004203</v>
      </c>
      <c r="U119" s="19">
        <f t="shared" si="104"/>
        <v>1811.5087778995803</v>
      </c>
    </row>
    <row r="120" spans="1:24">
      <c r="B120" s="15">
        <v>183684</v>
      </c>
      <c r="C120" s="364" t="s">
        <v>331</v>
      </c>
      <c r="D120" s="388">
        <v>40</v>
      </c>
      <c r="E120" s="385" t="s">
        <v>404</v>
      </c>
      <c r="F120" s="15">
        <v>2017</v>
      </c>
      <c r="G120" s="364">
        <v>6</v>
      </c>
      <c r="H120" s="386">
        <v>0</v>
      </c>
      <c r="I120" s="387" t="s">
        <v>86</v>
      </c>
      <c r="J120" s="364">
        <v>7</v>
      </c>
      <c r="K120" s="388">
        <f>F120+J120</f>
        <v>2024</v>
      </c>
      <c r="L120" s="21">
        <f>+K120+(G120/12)</f>
        <v>2024.5</v>
      </c>
      <c r="M120" s="20">
        <v>231300</v>
      </c>
      <c r="N120" s="19">
        <f>M120-M120*H120</f>
        <v>231300</v>
      </c>
      <c r="O120" s="19">
        <f>N120/J120/12</f>
        <v>2753.5714285714289</v>
      </c>
      <c r="P120" s="19">
        <f>+O120*12</f>
        <v>33042.857142857145</v>
      </c>
      <c r="Q120" s="419">
        <f t="shared" si="101"/>
        <v>33042.857142857145</v>
      </c>
      <c r="R120" s="101"/>
      <c r="S120" s="390">
        <f t="shared" si="102"/>
        <v>189996.42857142858</v>
      </c>
      <c r="T120" s="19">
        <f t="shared" si="103"/>
        <v>223039.28571428574</v>
      </c>
      <c r="U120" s="19">
        <f t="shared" si="104"/>
        <v>8260.7142857142608</v>
      </c>
    </row>
    <row r="121" spans="1:24">
      <c r="B121" s="15" t="s">
        <v>409</v>
      </c>
      <c r="C121" s="364"/>
      <c r="D121" s="388">
        <v>40</v>
      </c>
      <c r="E121" s="385" t="s">
        <v>408</v>
      </c>
      <c r="F121" s="15">
        <v>2017</v>
      </c>
      <c r="G121" s="364">
        <v>6</v>
      </c>
      <c r="H121" s="386">
        <v>0</v>
      </c>
      <c r="I121" s="387" t="s">
        <v>86</v>
      </c>
      <c r="J121" s="364">
        <v>6</v>
      </c>
      <c r="K121" s="388">
        <f>F121+J121</f>
        <v>2023</v>
      </c>
      <c r="L121" s="21">
        <f>+K121+(G121/12)</f>
        <v>2023.5</v>
      </c>
      <c r="M121" s="20">
        <v>19460.7</v>
      </c>
      <c r="N121" s="19">
        <f>M121-M121*H121</f>
        <v>19460.7</v>
      </c>
      <c r="O121" s="19">
        <f>N121/J121/12</f>
        <v>270.28750000000002</v>
      </c>
      <c r="P121" s="19">
        <f>+O121*12</f>
        <v>3243.4500000000003</v>
      </c>
      <c r="Q121" s="419">
        <f t="shared" si="101"/>
        <v>0</v>
      </c>
      <c r="R121" s="101"/>
      <c r="S121" s="390">
        <f t="shared" si="102"/>
        <v>18649.837500000001</v>
      </c>
      <c r="T121" s="19">
        <f t="shared" si="103"/>
        <v>19460.7</v>
      </c>
      <c r="U121" s="19">
        <f t="shared" si="104"/>
        <v>0</v>
      </c>
    </row>
    <row r="122" spans="1:24">
      <c r="C122" s="364"/>
      <c r="E122" s="385"/>
      <c r="H122" s="386"/>
      <c r="I122" s="387"/>
      <c r="K122" s="388"/>
      <c r="M122" s="17"/>
      <c r="N122" s="366"/>
      <c r="O122" s="366"/>
      <c r="P122" s="19"/>
      <c r="Q122" s="19"/>
      <c r="R122" s="366"/>
      <c r="S122" s="366"/>
      <c r="T122" s="366"/>
      <c r="U122" s="366"/>
    </row>
    <row r="123" spans="1:24">
      <c r="C123" s="364"/>
      <c r="E123" s="412" t="s">
        <v>631</v>
      </c>
      <c r="F123" s="413"/>
      <c r="G123" s="414"/>
      <c r="H123" s="415"/>
      <c r="I123" s="416"/>
      <c r="J123" s="414"/>
      <c r="K123" s="417"/>
      <c r="L123" s="413"/>
      <c r="M123" s="424">
        <f t="shared" ref="M123:U123" si="116">SUM(M103:M122)</f>
        <v>671366.88369230763</v>
      </c>
      <c r="N123" s="424">
        <f t="shared" si="116"/>
        <v>671366.88369230763</v>
      </c>
      <c r="O123" s="424">
        <f t="shared" si="116"/>
        <v>9265.0249289604471</v>
      </c>
      <c r="P123" s="424">
        <f t="shared" si="116"/>
        <v>111180.29914752535</v>
      </c>
      <c r="Q123" s="424">
        <f t="shared" si="116"/>
        <v>41926.037894778114</v>
      </c>
      <c r="R123" s="424">
        <f t="shared" si="116"/>
        <v>0</v>
      </c>
      <c r="S123" s="424">
        <f t="shared" si="116"/>
        <v>576319.9625672485</v>
      </c>
      <c r="T123" s="424">
        <f t="shared" si="116"/>
        <v>640091.9539620264</v>
      </c>
      <c r="U123" s="424">
        <f t="shared" si="116"/>
        <v>31274.92973028111</v>
      </c>
    </row>
    <row r="124" spans="1:24">
      <c r="C124" s="364"/>
      <c r="E124" s="379"/>
      <c r="H124" s="386"/>
      <c r="I124" s="387"/>
      <c r="K124" s="388"/>
      <c r="M124" s="401"/>
      <c r="N124" s="411"/>
      <c r="O124" s="411"/>
      <c r="P124" s="28"/>
      <c r="Q124" s="28"/>
      <c r="R124" s="411"/>
      <c r="S124" s="366"/>
      <c r="T124" s="366"/>
      <c r="U124" s="366"/>
    </row>
    <row r="125" spans="1:24">
      <c r="C125" s="364"/>
      <c r="E125" s="376" t="s">
        <v>449</v>
      </c>
      <c r="H125" s="386"/>
      <c r="I125" s="387"/>
      <c r="K125" s="388"/>
      <c r="M125" s="401"/>
      <c r="N125" s="411"/>
      <c r="O125" s="411"/>
      <c r="P125" s="28"/>
      <c r="Q125" s="28"/>
      <c r="R125" s="411"/>
      <c r="S125" s="366"/>
      <c r="T125" s="366"/>
      <c r="U125" s="366"/>
    </row>
    <row r="126" spans="1:24">
      <c r="C126" s="364" t="s">
        <v>121</v>
      </c>
      <c r="D126" s="15">
        <v>11</v>
      </c>
      <c r="E126" s="385" t="s">
        <v>135</v>
      </c>
      <c r="F126" s="15">
        <v>2007</v>
      </c>
      <c r="G126" s="364">
        <v>12</v>
      </c>
      <c r="H126" s="386">
        <v>0</v>
      </c>
      <c r="I126" s="387" t="s">
        <v>86</v>
      </c>
      <c r="J126" s="364">
        <v>7</v>
      </c>
      <c r="K126" s="388">
        <f>F126+J126</f>
        <v>2014</v>
      </c>
      <c r="L126" s="21">
        <f>+K126+(G126/12)</f>
        <v>2015</v>
      </c>
      <c r="M126" s="20">
        <f>'Depreciation - Orig.'!P92</f>
        <v>225272.04800000001</v>
      </c>
      <c r="N126" s="19">
        <f>M126-M126*H126</f>
        <v>225272.04800000001</v>
      </c>
      <c r="O126" s="19">
        <f>N126/J126/12</f>
        <v>2681.8100952380951</v>
      </c>
      <c r="P126" s="19">
        <f>+O126*12</f>
        <v>32181.721142857139</v>
      </c>
      <c r="Q126" s="419">
        <f t="shared" ref="Q126:Q131" si="117">+IF(L126&gt;$N$6,P126,0)</f>
        <v>0</v>
      </c>
      <c r="R126" s="101"/>
      <c r="S126" s="390">
        <f t="shared" ref="S126:S131" si="118">+IF($L126&lt;=$N$7,$M126,IF(($F126+($G126/12))&gt;=$N$7,0,((($N126-((($L126-$N$7)*12)*$O126))))))</f>
        <v>225272.04800000001</v>
      </c>
      <c r="T126" s="19">
        <f t="shared" ref="T126:T131" si="119">IF(L126&lt;=$N$6,M126,Q126+S126)</f>
        <v>225272.04800000001</v>
      </c>
      <c r="U126" s="19">
        <f t="shared" ref="U126:U131" si="120">+M126-T126</f>
        <v>0</v>
      </c>
    </row>
    <row r="127" spans="1:24">
      <c r="A127" s="391"/>
      <c r="B127" s="391"/>
      <c r="C127" s="392"/>
      <c r="D127" s="391"/>
      <c r="E127" s="393" t="s">
        <v>512</v>
      </c>
      <c r="F127" s="391">
        <v>2020</v>
      </c>
      <c r="G127" s="392">
        <v>12</v>
      </c>
      <c r="H127" s="394">
        <v>0</v>
      </c>
      <c r="I127" s="395" t="s">
        <v>86</v>
      </c>
      <c r="J127" s="392">
        <v>3</v>
      </c>
      <c r="K127" s="396">
        <f>F127+J127</f>
        <v>2023</v>
      </c>
      <c r="L127" s="50">
        <f>+K127+(G127/12)</f>
        <v>2024</v>
      </c>
      <c r="M127" s="51">
        <f>'Depreciation - Orig.'!N92-Depreciation!M126</f>
        <v>56318.011999999988</v>
      </c>
      <c r="N127" s="52">
        <f>M127-M127*H127</f>
        <v>56318.011999999988</v>
      </c>
      <c r="O127" s="52">
        <f>N127/J127/12</f>
        <v>1564.3892222222219</v>
      </c>
      <c r="P127" s="52">
        <f>+O127*12</f>
        <v>18772.670666666661</v>
      </c>
      <c r="Q127" s="389">
        <f t="shared" si="117"/>
        <v>0</v>
      </c>
      <c r="R127" s="101"/>
      <c r="S127" s="390">
        <f t="shared" si="118"/>
        <v>42238.508999999991</v>
      </c>
      <c r="T127" s="19">
        <f t="shared" si="119"/>
        <v>56318.011999999988</v>
      </c>
      <c r="U127" s="19">
        <f t="shared" si="120"/>
        <v>0</v>
      </c>
      <c r="W127" s="39"/>
      <c r="X127" s="39"/>
    </row>
    <row r="128" spans="1:24">
      <c r="C128" s="364" t="s">
        <v>2</v>
      </c>
      <c r="D128" s="15">
        <v>11</v>
      </c>
      <c r="E128" s="385" t="s">
        <v>106</v>
      </c>
      <c r="F128" s="15">
        <v>2010</v>
      </c>
      <c r="G128" s="364">
        <v>3</v>
      </c>
      <c r="H128" s="386">
        <v>0</v>
      </c>
      <c r="I128" s="387" t="s">
        <v>86</v>
      </c>
      <c r="J128" s="364">
        <v>7</v>
      </c>
      <c r="K128" s="388">
        <f>F128+J128</f>
        <v>2017</v>
      </c>
      <c r="L128" s="21">
        <f>+K128+(G128/12)</f>
        <v>2017.25</v>
      </c>
      <c r="M128" s="20">
        <f>'Depreciation - Orig.'!P24</f>
        <v>7450.4800000000005</v>
      </c>
      <c r="N128" s="19">
        <f>M128-M128*H128</f>
        <v>7450.4800000000005</v>
      </c>
      <c r="O128" s="19">
        <f>N128/J128/12</f>
        <v>88.696190476190495</v>
      </c>
      <c r="P128" s="19">
        <f>+O128*12</f>
        <v>1064.3542857142859</v>
      </c>
      <c r="Q128" s="419">
        <f t="shared" si="117"/>
        <v>0</v>
      </c>
      <c r="R128" s="101"/>
      <c r="S128" s="390">
        <f t="shared" si="118"/>
        <v>7450.4800000000005</v>
      </c>
      <c r="T128" s="19">
        <f t="shared" si="119"/>
        <v>7450.4800000000005</v>
      </c>
      <c r="U128" s="19">
        <f t="shared" si="120"/>
        <v>0</v>
      </c>
    </row>
    <row r="129" spans="1:24">
      <c r="A129" s="391"/>
      <c r="B129" s="391"/>
      <c r="C129" s="392"/>
      <c r="D129" s="391"/>
      <c r="E129" s="393" t="s">
        <v>496</v>
      </c>
      <c r="F129" s="391">
        <v>2020</v>
      </c>
      <c r="G129" s="392">
        <v>12</v>
      </c>
      <c r="H129" s="394">
        <v>0</v>
      </c>
      <c r="I129" s="395" t="s">
        <v>86</v>
      </c>
      <c r="J129" s="392">
        <v>3</v>
      </c>
      <c r="K129" s="396">
        <f t="shared" ref="K129" si="121">F129+J129</f>
        <v>2023</v>
      </c>
      <c r="L129" s="50">
        <f>+K129+(G129/12)</f>
        <v>2024</v>
      </c>
      <c r="M129" s="51">
        <f>'Depreciation - Orig.'!N24-Depreciation!M128</f>
        <v>1862.62</v>
      </c>
      <c r="N129" s="52">
        <f t="shared" ref="N129" si="122">M129-M129*H129</f>
        <v>1862.62</v>
      </c>
      <c r="O129" s="52">
        <f t="shared" ref="O129" si="123">N129/J129/12</f>
        <v>51.739444444444445</v>
      </c>
      <c r="P129" s="52">
        <f>+O129*12</f>
        <v>620.87333333333333</v>
      </c>
      <c r="Q129" s="389">
        <f t="shared" si="117"/>
        <v>0</v>
      </c>
      <c r="R129" s="101"/>
      <c r="S129" s="390">
        <f t="shared" si="118"/>
        <v>1396.9649999999999</v>
      </c>
      <c r="T129" s="19">
        <f t="shared" si="119"/>
        <v>1862.62</v>
      </c>
      <c r="U129" s="19">
        <f t="shared" si="120"/>
        <v>0</v>
      </c>
      <c r="W129" s="39"/>
      <c r="X129" s="39"/>
    </row>
    <row r="130" spans="1:24" s="391" customFormat="1">
      <c r="B130" s="391">
        <v>183682</v>
      </c>
      <c r="C130" s="392" t="s">
        <v>331</v>
      </c>
      <c r="D130" s="396">
        <v>41</v>
      </c>
      <c r="E130" s="393" t="s">
        <v>406</v>
      </c>
      <c r="F130" s="391">
        <v>2017</v>
      </c>
      <c r="G130" s="392">
        <v>6</v>
      </c>
      <c r="H130" s="394">
        <v>0</v>
      </c>
      <c r="I130" s="395" t="s">
        <v>86</v>
      </c>
      <c r="J130" s="392">
        <v>6</v>
      </c>
      <c r="K130" s="396">
        <f t="shared" ref="K130:K131" si="124">F130+J130</f>
        <v>2023</v>
      </c>
      <c r="L130" s="50">
        <f t="shared" ref="L130:L131" si="125">+K130+(G130/12)</f>
        <v>2023.5</v>
      </c>
      <c r="M130" s="51">
        <v>215000</v>
      </c>
      <c r="N130" s="52">
        <f t="shared" ref="N130:N131" si="126">M130-M130*H130</f>
        <v>215000</v>
      </c>
      <c r="O130" s="52">
        <f t="shared" ref="O130:O131" si="127">N130/J130/12</f>
        <v>2986.1111111111113</v>
      </c>
      <c r="P130" s="52">
        <f t="shared" ref="P130:P131" si="128">+O130*12</f>
        <v>35833.333333333336</v>
      </c>
      <c r="Q130" s="419">
        <f t="shared" si="117"/>
        <v>0</v>
      </c>
      <c r="R130" s="101"/>
      <c r="S130" s="390">
        <f t="shared" si="118"/>
        <v>206041.66666666666</v>
      </c>
      <c r="T130" s="19">
        <f t="shared" si="119"/>
        <v>215000</v>
      </c>
      <c r="U130" s="19">
        <f t="shared" si="120"/>
        <v>0</v>
      </c>
      <c r="V130" s="425"/>
    </row>
    <row r="131" spans="1:24" s="391" customFormat="1">
      <c r="B131" s="391" t="s">
        <v>407</v>
      </c>
      <c r="C131" s="392"/>
      <c r="D131" s="396">
        <v>41</v>
      </c>
      <c r="E131" s="393" t="s">
        <v>408</v>
      </c>
      <c r="F131" s="391">
        <v>2017</v>
      </c>
      <c r="G131" s="392">
        <v>6</v>
      </c>
      <c r="H131" s="394">
        <v>0</v>
      </c>
      <c r="I131" s="395" t="s">
        <v>86</v>
      </c>
      <c r="J131" s="392">
        <v>5</v>
      </c>
      <c r="K131" s="396">
        <f t="shared" si="124"/>
        <v>2022</v>
      </c>
      <c r="L131" s="50">
        <f t="shared" si="125"/>
        <v>2022.5</v>
      </c>
      <c r="M131" s="51">
        <v>15667.9</v>
      </c>
      <c r="N131" s="52">
        <f t="shared" si="126"/>
        <v>15667.9</v>
      </c>
      <c r="O131" s="52">
        <f t="shared" si="127"/>
        <v>261.13166666666666</v>
      </c>
      <c r="P131" s="52">
        <f t="shared" si="128"/>
        <v>3133.58</v>
      </c>
      <c r="Q131" s="419">
        <f t="shared" si="117"/>
        <v>0</v>
      </c>
      <c r="R131" s="101"/>
      <c r="S131" s="390">
        <f t="shared" si="118"/>
        <v>15667.9</v>
      </c>
      <c r="T131" s="19">
        <f t="shared" si="119"/>
        <v>15667.9</v>
      </c>
      <c r="U131" s="19">
        <f t="shared" si="120"/>
        <v>0</v>
      </c>
      <c r="V131" s="425"/>
    </row>
    <row r="132" spans="1:24">
      <c r="C132" s="364"/>
      <c r="E132" s="379"/>
      <c r="H132" s="386"/>
      <c r="I132" s="387"/>
      <c r="K132" s="388"/>
      <c r="M132" s="28"/>
      <c r="N132" s="28"/>
      <c r="O132" s="28"/>
      <c r="P132" s="28"/>
      <c r="Q132" s="28"/>
      <c r="R132" s="28"/>
      <c r="S132" s="19"/>
      <c r="T132" s="19"/>
      <c r="U132" s="19"/>
    </row>
    <row r="133" spans="1:24">
      <c r="C133" s="364"/>
      <c r="E133" s="412" t="s">
        <v>449</v>
      </c>
      <c r="F133" s="413"/>
      <c r="G133" s="414"/>
      <c r="H133" s="415"/>
      <c r="I133" s="416"/>
      <c r="J133" s="414"/>
      <c r="K133" s="417"/>
      <c r="L133" s="413"/>
      <c r="M133" s="18">
        <f>SUM(M126:M132)</f>
        <v>521571.06</v>
      </c>
      <c r="N133" s="18">
        <f t="shared" ref="N133:U133" si="129">SUM(N126:N132)</f>
        <v>521571.06</v>
      </c>
      <c r="O133" s="18">
        <f t="shared" si="129"/>
        <v>7633.8777301587288</v>
      </c>
      <c r="P133" s="18">
        <f t="shared" si="129"/>
        <v>91606.532761904775</v>
      </c>
      <c r="Q133" s="18">
        <f t="shared" si="129"/>
        <v>0</v>
      </c>
      <c r="R133" s="18">
        <f t="shared" si="129"/>
        <v>0</v>
      </c>
      <c r="S133" s="18">
        <f t="shared" si="129"/>
        <v>498067.56866666675</v>
      </c>
      <c r="T133" s="18">
        <f t="shared" si="129"/>
        <v>521571.06</v>
      </c>
      <c r="U133" s="18">
        <f t="shared" si="129"/>
        <v>0</v>
      </c>
    </row>
    <row r="134" spans="1:24">
      <c r="C134" s="364"/>
      <c r="E134" s="379"/>
      <c r="H134" s="386"/>
      <c r="I134" s="387"/>
      <c r="K134" s="388"/>
      <c r="M134" s="401"/>
      <c r="N134" s="401"/>
      <c r="O134" s="401"/>
      <c r="P134" s="28"/>
      <c r="Q134" s="28"/>
      <c r="R134" s="401"/>
      <c r="S134" s="401"/>
      <c r="T134" s="401"/>
      <c r="U134" s="401"/>
    </row>
    <row r="135" spans="1:24">
      <c r="C135" s="364"/>
      <c r="E135" s="376" t="s">
        <v>624</v>
      </c>
      <c r="H135" s="386"/>
      <c r="I135" s="387"/>
      <c r="K135" s="388"/>
      <c r="M135" s="401"/>
      <c r="N135" s="401"/>
      <c r="O135" s="401"/>
      <c r="P135" s="28"/>
      <c r="Q135" s="28"/>
      <c r="R135" s="401"/>
      <c r="S135" s="401"/>
      <c r="T135" s="401"/>
      <c r="U135" s="401"/>
    </row>
    <row r="136" spans="1:24">
      <c r="C136" s="364"/>
      <c r="D136" s="15">
        <v>8008</v>
      </c>
      <c r="E136" s="385" t="s">
        <v>126</v>
      </c>
      <c r="F136" s="15">
        <v>2009</v>
      </c>
      <c r="G136" s="364">
        <v>7</v>
      </c>
      <c r="H136" s="386">
        <v>0</v>
      </c>
      <c r="I136" s="387" t="s">
        <v>86</v>
      </c>
      <c r="J136" s="364">
        <v>7</v>
      </c>
      <c r="K136" s="388">
        <f>F136+J136</f>
        <v>2016</v>
      </c>
      <c r="L136" s="21">
        <f>+K136+(G136/12)</f>
        <v>2016.5833333333333</v>
      </c>
      <c r="M136" s="20">
        <f>'Depreciation - Orig.'!P76</f>
        <v>5567.2</v>
      </c>
      <c r="N136" s="19">
        <f>M136-M136*H136</f>
        <v>5567.2</v>
      </c>
      <c r="O136" s="19">
        <f>N136/J136/12</f>
        <v>66.276190476190479</v>
      </c>
      <c r="P136" s="19">
        <f>+O136*12</f>
        <v>795.31428571428569</v>
      </c>
      <c r="Q136" s="419">
        <f t="shared" ref="Q136:Q151" si="130">+IF(L136&gt;$N$6,P136,0)</f>
        <v>0</v>
      </c>
      <c r="R136" s="101"/>
      <c r="S136" s="390">
        <f t="shared" ref="S136:S151" si="131">+IF($L136&lt;=$N$7,$M136,IF(($F136+($G136/12))&gt;=$N$7,0,((($N136-((($L136-$N$7)*12)*$O136))))))</f>
        <v>5567.2</v>
      </c>
      <c r="T136" s="19">
        <f t="shared" ref="T136:T151" si="132">IF(L136&lt;=$N$6,M136,Q136+S136)</f>
        <v>5567.2</v>
      </c>
      <c r="U136" s="19">
        <f t="shared" ref="U136:U151" si="133">+M136-T136</f>
        <v>0</v>
      </c>
    </row>
    <row r="137" spans="1:24">
      <c r="A137" s="391"/>
      <c r="B137" s="391"/>
      <c r="C137" s="392"/>
      <c r="D137" s="391"/>
      <c r="E137" s="393" t="s">
        <v>507</v>
      </c>
      <c r="F137" s="391">
        <v>2020</v>
      </c>
      <c r="G137" s="392">
        <v>12</v>
      </c>
      <c r="H137" s="394">
        <v>0</v>
      </c>
      <c r="I137" s="395" t="s">
        <v>86</v>
      </c>
      <c r="J137" s="392">
        <v>3</v>
      </c>
      <c r="K137" s="396">
        <f t="shared" ref="K137" si="134">F137+J137</f>
        <v>2023</v>
      </c>
      <c r="L137" s="50">
        <f>+K137+(G137/12)</f>
        <v>2024</v>
      </c>
      <c r="M137" s="51">
        <f>'Depreciation - Orig.'!N76-Depreciation!M136</f>
        <v>1391.8000000000002</v>
      </c>
      <c r="N137" s="52">
        <f t="shared" ref="N137" si="135">M137-M137*H137</f>
        <v>1391.8000000000002</v>
      </c>
      <c r="O137" s="52">
        <f t="shared" ref="O137" si="136">N137/J137/12</f>
        <v>38.661111111111119</v>
      </c>
      <c r="P137" s="52">
        <f>+O137*12</f>
        <v>463.93333333333339</v>
      </c>
      <c r="Q137" s="389">
        <f t="shared" si="130"/>
        <v>0</v>
      </c>
      <c r="R137" s="101"/>
      <c r="S137" s="390">
        <f t="shared" si="131"/>
        <v>1043.8500000000001</v>
      </c>
      <c r="T137" s="19">
        <f t="shared" si="132"/>
        <v>1391.8000000000002</v>
      </c>
      <c r="U137" s="19">
        <f t="shared" si="133"/>
        <v>0</v>
      </c>
      <c r="W137" s="39"/>
      <c r="X137" s="39"/>
    </row>
    <row r="138" spans="1:24">
      <c r="D138" s="388" t="s">
        <v>223</v>
      </c>
      <c r="E138" s="385" t="s">
        <v>224</v>
      </c>
      <c r="F138" s="15">
        <v>2011</v>
      </c>
      <c r="G138" s="364">
        <v>12</v>
      </c>
      <c r="H138" s="386">
        <v>0</v>
      </c>
      <c r="I138" s="387" t="s">
        <v>86</v>
      </c>
      <c r="J138" s="364">
        <v>5</v>
      </c>
      <c r="K138" s="388">
        <f>F138+J138</f>
        <v>2016</v>
      </c>
      <c r="L138" s="21">
        <f t="shared" ref="L138:L151" si="137">+K138+(G138/12)</f>
        <v>2017</v>
      </c>
      <c r="M138" s="365">
        <v>5000</v>
      </c>
      <c r="N138" s="366">
        <f>M138-M138*H138</f>
        <v>5000</v>
      </c>
      <c r="O138" s="366">
        <f>N138/J138/12</f>
        <v>83.333333333333329</v>
      </c>
      <c r="P138" s="19">
        <f t="shared" ref="P138:P151" si="138">+O138*12</f>
        <v>1000</v>
      </c>
      <c r="Q138" s="419">
        <f t="shared" si="130"/>
        <v>0</v>
      </c>
      <c r="R138" s="101"/>
      <c r="S138" s="390">
        <f t="shared" si="131"/>
        <v>5000</v>
      </c>
      <c r="T138" s="19">
        <f t="shared" si="132"/>
        <v>5000</v>
      </c>
      <c r="U138" s="19">
        <f t="shared" si="133"/>
        <v>0</v>
      </c>
    </row>
    <row r="139" spans="1:24">
      <c r="C139" s="364" t="s">
        <v>2</v>
      </c>
      <c r="D139" s="388" t="s">
        <v>223</v>
      </c>
      <c r="E139" s="385" t="s">
        <v>225</v>
      </c>
      <c r="F139" s="15">
        <v>2012</v>
      </c>
      <c r="G139" s="364">
        <v>7</v>
      </c>
      <c r="H139" s="386">
        <v>0</v>
      </c>
      <c r="I139" s="387" t="s">
        <v>86</v>
      </c>
      <c r="J139" s="364">
        <v>7</v>
      </c>
      <c r="K139" s="388">
        <f>F139+J139</f>
        <v>2019</v>
      </c>
      <c r="L139" s="21">
        <f t="shared" si="137"/>
        <v>2019.5833333333333</v>
      </c>
      <c r="M139" s="365">
        <f>'Depreciation - Orig.'!P393</f>
        <v>476</v>
      </c>
      <c r="N139" s="366">
        <f>M139-M139*H139</f>
        <v>476</v>
      </c>
      <c r="O139" s="366">
        <f>N139/J139/12</f>
        <v>5.666666666666667</v>
      </c>
      <c r="P139" s="19">
        <f t="shared" si="138"/>
        <v>68</v>
      </c>
      <c r="Q139" s="419">
        <f t="shared" si="130"/>
        <v>0</v>
      </c>
      <c r="R139" s="101"/>
      <c r="S139" s="390">
        <f t="shared" si="131"/>
        <v>476</v>
      </c>
      <c r="T139" s="19">
        <f t="shared" si="132"/>
        <v>476</v>
      </c>
      <c r="U139" s="19">
        <f t="shared" si="133"/>
        <v>0</v>
      </c>
    </row>
    <row r="140" spans="1:24">
      <c r="A140" s="391"/>
      <c r="B140" s="391"/>
      <c r="C140" s="392"/>
      <c r="D140" s="391"/>
      <c r="E140" s="393" t="s">
        <v>520</v>
      </c>
      <c r="F140" s="391">
        <v>2020</v>
      </c>
      <c r="G140" s="392">
        <v>12</v>
      </c>
      <c r="H140" s="394">
        <v>0</v>
      </c>
      <c r="I140" s="395" t="s">
        <v>86</v>
      </c>
      <c r="J140" s="392">
        <v>3</v>
      </c>
      <c r="K140" s="396">
        <f t="shared" ref="K140" si="139">F140+J140</f>
        <v>2023</v>
      </c>
      <c r="L140" s="50">
        <f t="shared" si="137"/>
        <v>2024</v>
      </c>
      <c r="M140" s="51">
        <f>'Depreciation - Orig.'!N393-Depreciation!M139</f>
        <v>119</v>
      </c>
      <c r="N140" s="52">
        <f t="shared" ref="N140" si="140">M140-M140*H140</f>
        <v>119</v>
      </c>
      <c r="O140" s="52">
        <f t="shared" ref="O140" si="141">N140/J140/12</f>
        <v>3.3055555555555554</v>
      </c>
      <c r="P140" s="52">
        <f t="shared" si="138"/>
        <v>39.666666666666664</v>
      </c>
      <c r="Q140" s="389">
        <f t="shared" si="130"/>
        <v>0</v>
      </c>
      <c r="R140" s="101"/>
      <c r="S140" s="390">
        <f t="shared" si="131"/>
        <v>89.25</v>
      </c>
      <c r="T140" s="19">
        <f t="shared" si="132"/>
        <v>119</v>
      </c>
      <c r="U140" s="19">
        <f t="shared" si="133"/>
        <v>0</v>
      </c>
      <c r="W140" s="39"/>
      <c r="X140" s="39"/>
    </row>
    <row r="141" spans="1:24">
      <c r="C141" s="364"/>
      <c r="D141" s="426" t="s">
        <v>124</v>
      </c>
      <c r="E141" s="385" t="s">
        <v>125</v>
      </c>
      <c r="F141" s="15">
        <v>2009</v>
      </c>
      <c r="G141" s="364">
        <v>7</v>
      </c>
      <c r="H141" s="386">
        <v>0</v>
      </c>
      <c r="I141" s="387" t="s">
        <v>86</v>
      </c>
      <c r="J141" s="364">
        <v>7</v>
      </c>
      <c r="K141" s="388">
        <f>F141+J141</f>
        <v>2016</v>
      </c>
      <c r="L141" s="21">
        <f t="shared" si="137"/>
        <v>2016.5833333333333</v>
      </c>
      <c r="M141" s="20">
        <f>'Depreciation - Orig.'!P75</f>
        <v>17248.8</v>
      </c>
      <c r="N141" s="19">
        <f>M141-M141*H141</f>
        <v>17248.8</v>
      </c>
      <c r="O141" s="19">
        <f>N141/J141/12</f>
        <v>205.34285714285713</v>
      </c>
      <c r="P141" s="19">
        <f t="shared" si="138"/>
        <v>2464.1142857142854</v>
      </c>
      <c r="Q141" s="419">
        <f t="shared" si="130"/>
        <v>0</v>
      </c>
      <c r="R141" s="101"/>
      <c r="S141" s="390">
        <f t="shared" si="131"/>
        <v>17248.8</v>
      </c>
      <c r="T141" s="19">
        <f t="shared" si="132"/>
        <v>17248.8</v>
      </c>
      <c r="U141" s="19">
        <f t="shared" si="133"/>
        <v>0</v>
      </c>
      <c r="V141" s="14"/>
    </row>
    <row r="142" spans="1:24">
      <c r="A142" s="391"/>
      <c r="B142" s="391"/>
      <c r="C142" s="392"/>
      <c r="D142" s="391"/>
      <c r="E142" s="393" t="s">
        <v>506</v>
      </c>
      <c r="F142" s="391">
        <v>2020</v>
      </c>
      <c r="G142" s="392">
        <v>12</v>
      </c>
      <c r="H142" s="394">
        <v>0</v>
      </c>
      <c r="I142" s="395" t="s">
        <v>86</v>
      </c>
      <c r="J142" s="392">
        <v>3</v>
      </c>
      <c r="K142" s="396">
        <f t="shared" ref="K142" si="142">F142+J142</f>
        <v>2023</v>
      </c>
      <c r="L142" s="50">
        <f t="shared" si="137"/>
        <v>2024</v>
      </c>
      <c r="M142" s="51">
        <f>'Depreciation - Orig.'!N75-Depreciation!M141</f>
        <v>4312.2000000000007</v>
      </c>
      <c r="N142" s="52">
        <f t="shared" ref="N142" si="143">M142-M142*H142</f>
        <v>4312.2000000000007</v>
      </c>
      <c r="O142" s="52">
        <f t="shared" ref="O142" si="144">N142/J142/12</f>
        <v>119.78333333333336</v>
      </c>
      <c r="P142" s="52">
        <f t="shared" si="138"/>
        <v>1437.4000000000003</v>
      </c>
      <c r="Q142" s="389">
        <f t="shared" si="130"/>
        <v>0</v>
      </c>
      <c r="R142" s="101"/>
      <c r="S142" s="390">
        <f t="shared" si="131"/>
        <v>3234.1500000000005</v>
      </c>
      <c r="T142" s="19">
        <f t="shared" si="132"/>
        <v>4312.2000000000007</v>
      </c>
      <c r="U142" s="19">
        <f t="shared" si="133"/>
        <v>0</v>
      </c>
      <c r="W142" s="39"/>
      <c r="X142" s="39"/>
    </row>
    <row r="143" spans="1:24">
      <c r="B143" s="15">
        <v>95491</v>
      </c>
      <c r="C143" s="364" t="s">
        <v>2</v>
      </c>
      <c r="D143" s="388" t="s">
        <v>124</v>
      </c>
      <c r="E143" s="385" t="s">
        <v>107</v>
      </c>
      <c r="F143" s="15">
        <v>2012</v>
      </c>
      <c r="G143" s="364">
        <v>7</v>
      </c>
      <c r="H143" s="386">
        <v>0</v>
      </c>
      <c r="I143" s="387" t="s">
        <v>86</v>
      </c>
      <c r="J143" s="364">
        <v>7</v>
      </c>
      <c r="K143" s="388">
        <f>F143+J143</f>
        <v>2019</v>
      </c>
      <c r="L143" s="21">
        <f t="shared" si="137"/>
        <v>2019.5833333333333</v>
      </c>
      <c r="M143" s="20">
        <f>'Depreciation - Orig.'!P79</f>
        <v>476</v>
      </c>
      <c r="N143" s="19">
        <f>M143-M143*H143</f>
        <v>476</v>
      </c>
      <c r="O143" s="19">
        <f>N143/J143/12</f>
        <v>5.666666666666667</v>
      </c>
      <c r="P143" s="19">
        <f t="shared" si="138"/>
        <v>68</v>
      </c>
      <c r="Q143" s="419">
        <f t="shared" si="130"/>
        <v>0</v>
      </c>
      <c r="R143" s="101"/>
      <c r="S143" s="390">
        <f t="shared" si="131"/>
        <v>476</v>
      </c>
      <c r="T143" s="19">
        <f t="shared" si="132"/>
        <v>476</v>
      </c>
      <c r="U143" s="19">
        <f t="shared" si="133"/>
        <v>0</v>
      </c>
      <c r="V143" s="14"/>
    </row>
    <row r="144" spans="1:24">
      <c r="A144" s="391"/>
      <c r="B144" s="391"/>
      <c r="C144" s="392"/>
      <c r="D144" s="391"/>
      <c r="E144" s="393" t="s">
        <v>510</v>
      </c>
      <c r="F144" s="391">
        <v>2020</v>
      </c>
      <c r="G144" s="392">
        <v>12</v>
      </c>
      <c r="H144" s="394">
        <v>0</v>
      </c>
      <c r="I144" s="395" t="s">
        <v>86</v>
      </c>
      <c r="J144" s="392">
        <v>3</v>
      </c>
      <c r="K144" s="396">
        <f t="shared" ref="K144" si="145">F144+J144</f>
        <v>2023</v>
      </c>
      <c r="L144" s="50">
        <f t="shared" si="137"/>
        <v>2024</v>
      </c>
      <c r="M144" s="51">
        <f>'Depreciation - Orig.'!N79-Depreciation!M143</f>
        <v>119</v>
      </c>
      <c r="N144" s="52">
        <f t="shared" ref="N144" si="146">M144-M144*H144</f>
        <v>119</v>
      </c>
      <c r="O144" s="52">
        <f t="shared" ref="O144" si="147">N144/J144/12</f>
        <v>3.3055555555555554</v>
      </c>
      <c r="P144" s="52">
        <f t="shared" si="138"/>
        <v>39.666666666666664</v>
      </c>
      <c r="Q144" s="389">
        <f t="shared" si="130"/>
        <v>0</v>
      </c>
      <c r="R144" s="101"/>
      <c r="S144" s="390">
        <f t="shared" si="131"/>
        <v>89.25</v>
      </c>
      <c r="T144" s="19">
        <f t="shared" si="132"/>
        <v>119</v>
      </c>
      <c r="U144" s="19">
        <f t="shared" si="133"/>
        <v>0</v>
      </c>
      <c r="W144" s="39"/>
      <c r="X144" s="39"/>
    </row>
    <row r="145" spans="1:24">
      <c r="C145" s="364" t="s">
        <v>90</v>
      </c>
      <c r="D145" s="388" t="s">
        <v>91</v>
      </c>
      <c r="E145" s="385" t="s">
        <v>92</v>
      </c>
      <c r="F145" s="15">
        <v>2007</v>
      </c>
      <c r="G145" s="364">
        <v>1</v>
      </c>
      <c r="H145" s="386">
        <v>0</v>
      </c>
      <c r="I145" s="387" t="s">
        <v>86</v>
      </c>
      <c r="J145" s="364">
        <v>7</v>
      </c>
      <c r="K145" s="388">
        <f>F145+J145</f>
        <v>2014</v>
      </c>
      <c r="L145" s="21">
        <f t="shared" si="137"/>
        <v>2014.0833333333333</v>
      </c>
      <c r="M145" s="20">
        <f>'Depreciation - Orig.'!P13</f>
        <v>23932.400000000001</v>
      </c>
      <c r="N145" s="19">
        <f>M145-M145*H145</f>
        <v>23932.400000000001</v>
      </c>
      <c r="O145" s="19">
        <f>N145/J145/12</f>
        <v>284.90952380952382</v>
      </c>
      <c r="P145" s="19">
        <f t="shared" si="138"/>
        <v>3418.9142857142861</v>
      </c>
      <c r="Q145" s="419">
        <f t="shared" si="130"/>
        <v>0</v>
      </c>
      <c r="R145" s="101"/>
      <c r="S145" s="390">
        <f t="shared" si="131"/>
        <v>23932.400000000001</v>
      </c>
      <c r="T145" s="19">
        <f t="shared" si="132"/>
        <v>23932.400000000001</v>
      </c>
      <c r="U145" s="19">
        <f t="shared" si="133"/>
        <v>0</v>
      </c>
      <c r="V145" s="14"/>
    </row>
    <row r="146" spans="1:24">
      <c r="A146" s="391"/>
      <c r="B146" s="391"/>
      <c r="C146" s="392"/>
      <c r="D146" s="391"/>
      <c r="E146" s="393" t="s">
        <v>489</v>
      </c>
      <c r="F146" s="391">
        <v>2020</v>
      </c>
      <c r="G146" s="392">
        <v>12</v>
      </c>
      <c r="H146" s="394">
        <v>0</v>
      </c>
      <c r="I146" s="395" t="s">
        <v>86</v>
      </c>
      <c r="J146" s="392">
        <v>3</v>
      </c>
      <c r="K146" s="396">
        <f>F146+J146</f>
        <v>2023</v>
      </c>
      <c r="L146" s="50">
        <f t="shared" si="137"/>
        <v>2024</v>
      </c>
      <c r="M146" s="51">
        <f>'Depreciation - Orig.'!N13-Depreciation!M145</f>
        <v>5983.0999999999985</v>
      </c>
      <c r="N146" s="52">
        <f>M146-M146*H146</f>
        <v>5983.0999999999985</v>
      </c>
      <c r="O146" s="52">
        <f>N146/J146/12</f>
        <v>166.19722222222217</v>
      </c>
      <c r="P146" s="52">
        <f t="shared" si="138"/>
        <v>1994.3666666666659</v>
      </c>
      <c r="Q146" s="389">
        <f t="shared" si="130"/>
        <v>0</v>
      </c>
      <c r="R146" s="101"/>
      <c r="S146" s="390">
        <f t="shared" si="131"/>
        <v>4487.3249999999989</v>
      </c>
      <c r="T146" s="19">
        <f t="shared" si="132"/>
        <v>5983.0999999999985</v>
      </c>
      <c r="U146" s="19">
        <f t="shared" si="133"/>
        <v>0</v>
      </c>
      <c r="W146" s="39"/>
      <c r="X146" s="39"/>
    </row>
    <row r="147" spans="1:24">
      <c r="C147" s="364" t="s">
        <v>316</v>
      </c>
      <c r="D147" s="15">
        <v>4</v>
      </c>
      <c r="E147" s="385" t="s">
        <v>317</v>
      </c>
      <c r="F147" s="15">
        <v>2004</v>
      </c>
      <c r="G147" s="364">
        <v>9</v>
      </c>
      <c r="H147" s="386">
        <v>0</v>
      </c>
      <c r="I147" s="387" t="s">
        <v>86</v>
      </c>
      <c r="J147" s="364">
        <v>7</v>
      </c>
      <c r="K147" s="388">
        <f>F147+J147</f>
        <v>2011</v>
      </c>
      <c r="L147" s="21">
        <f t="shared" si="137"/>
        <v>2011.75</v>
      </c>
      <c r="M147" s="20">
        <f>'Depreciation - Orig.'!P11</f>
        <v>90359.2</v>
      </c>
      <c r="N147" s="19">
        <f>M147-M147*H147</f>
        <v>90359.2</v>
      </c>
      <c r="O147" s="19">
        <f>N147/J147/12</f>
        <v>1075.7047619047619</v>
      </c>
      <c r="P147" s="19">
        <f t="shared" si="138"/>
        <v>12908.457142857143</v>
      </c>
      <c r="Q147" s="419">
        <f t="shared" si="130"/>
        <v>0</v>
      </c>
      <c r="R147" s="101"/>
      <c r="S147" s="390">
        <f t="shared" si="131"/>
        <v>90359.2</v>
      </c>
      <c r="T147" s="19">
        <f t="shared" si="132"/>
        <v>90359.2</v>
      </c>
      <c r="U147" s="19">
        <f t="shared" si="133"/>
        <v>0</v>
      </c>
    </row>
    <row r="148" spans="1:24">
      <c r="A148" s="391"/>
      <c r="B148" s="391"/>
      <c r="C148" s="392"/>
      <c r="D148" s="391"/>
      <c r="E148" s="393" t="s">
        <v>488</v>
      </c>
      <c r="F148" s="391">
        <v>2020</v>
      </c>
      <c r="G148" s="392">
        <v>12</v>
      </c>
      <c r="H148" s="394">
        <v>0</v>
      </c>
      <c r="I148" s="395" t="s">
        <v>86</v>
      </c>
      <c r="J148" s="392">
        <v>3</v>
      </c>
      <c r="K148" s="396">
        <f t="shared" ref="K148" si="148">F148+J148</f>
        <v>2023</v>
      </c>
      <c r="L148" s="50">
        <f t="shared" si="137"/>
        <v>2024</v>
      </c>
      <c r="M148" s="51">
        <f>'Depreciation - Orig.'!N11-Depreciation!M147</f>
        <v>22589.800000000003</v>
      </c>
      <c r="N148" s="52">
        <f t="shared" ref="N148" si="149">M148-M148*H148</f>
        <v>22589.800000000003</v>
      </c>
      <c r="O148" s="52">
        <f t="shared" ref="O148" si="150">N148/J148/12</f>
        <v>627.49444444444453</v>
      </c>
      <c r="P148" s="52">
        <f t="shared" si="138"/>
        <v>7529.9333333333343</v>
      </c>
      <c r="Q148" s="389">
        <f t="shared" si="130"/>
        <v>0</v>
      </c>
      <c r="R148" s="101"/>
      <c r="S148" s="390">
        <f t="shared" si="131"/>
        <v>16942.350000000002</v>
      </c>
      <c r="T148" s="19">
        <f t="shared" si="132"/>
        <v>22589.800000000003</v>
      </c>
      <c r="U148" s="19">
        <f t="shared" si="133"/>
        <v>0</v>
      </c>
      <c r="W148" s="39"/>
      <c r="X148" s="39"/>
    </row>
    <row r="149" spans="1:24">
      <c r="C149" s="364" t="s">
        <v>2</v>
      </c>
      <c r="D149" s="388">
        <v>4</v>
      </c>
      <c r="E149" s="385" t="s">
        <v>129</v>
      </c>
      <c r="F149" s="15">
        <v>2010</v>
      </c>
      <c r="G149" s="364">
        <v>3</v>
      </c>
      <c r="H149" s="386">
        <v>0</v>
      </c>
      <c r="I149" s="387" t="s">
        <v>86</v>
      </c>
      <c r="J149" s="364">
        <v>7</v>
      </c>
      <c r="K149" s="388">
        <f>F149+J149</f>
        <v>2017</v>
      </c>
      <c r="L149" s="21">
        <f t="shared" si="137"/>
        <v>2017.25</v>
      </c>
      <c r="M149" s="20">
        <f>'Depreciation - Orig.'!P78</f>
        <v>2483.4880000000003</v>
      </c>
      <c r="N149" s="19">
        <f>M149-M149*H149</f>
        <v>2483.4880000000003</v>
      </c>
      <c r="O149" s="19">
        <f>N149/J149/12</f>
        <v>29.565333333333339</v>
      </c>
      <c r="P149" s="19">
        <f t="shared" si="138"/>
        <v>354.78400000000005</v>
      </c>
      <c r="Q149" s="419">
        <f t="shared" si="130"/>
        <v>0</v>
      </c>
      <c r="R149" s="101"/>
      <c r="S149" s="390">
        <f t="shared" si="131"/>
        <v>2483.4880000000003</v>
      </c>
      <c r="T149" s="19">
        <f t="shared" si="132"/>
        <v>2483.4880000000003</v>
      </c>
      <c r="U149" s="19">
        <f t="shared" si="133"/>
        <v>0</v>
      </c>
    </row>
    <row r="150" spans="1:24">
      <c r="A150" s="391"/>
      <c r="B150" s="391"/>
      <c r="C150" s="392"/>
      <c r="D150" s="391"/>
      <c r="E150" s="393" t="s">
        <v>509</v>
      </c>
      <c r="F150" s="391">
        <v>2020</v>
      </c>
      <c r="G150" s="392">
        <v>12</v>
      </c>
      <c r="H150" s="394">
        <v>0</v>
      </c>
      <c r="I150" s="395" t="s">
        <v>86</v>
      </c>
      <c r="J150" s="392">
        <v>3</v>
      </c>
      <c r="K150" s="396">
        <f t="shared" ref="K150" si="151">F150+J150</f>
        <v>2023</v>
      </c>
      <c r="L150" s="50">
        <f t="shared" si="137"/>
        <v>2024</v>
      </c>
      <c r="M150" s="51">
        <f>'Depreciation - Orig.'!N78-Depreciation!M149</f>
        <v>620.87199999999984</v>
      </c>
      <c r="N150" s="52">
        <f t="shared" ref="N150" si="152">M150-M150*H150</f>
        <v>620.87199999999984</v>
      </c>
      <c r="O150" s="52">
        <f t="shared" ref="O150" si="153">N150/J150/12</f>
        <v>17.246444444444439</v>
      </c>
      <c r="P150" s="52">
        <f t="shared" si="138"/>
        <v>206.95733333333328</v>
      </c>
      <c r="Q150" s="389">
        <f t="shared" si="130"/>
        <v>0</v>
      </c>
      <c r="R150" s="101"/>
      <c r="S150" s="390">
        <f t="shared" si="131"/>
        <v>465.65399999999988</v>
      </c>
      <c r="T150" s="19">
        <f t="shared" si="132"/>
        <v>620.87199999999984</v>
      </c>
      <c r="U150" s="19">
        <f t="shared" si="133"/>
        <v>0</v>
      </c>
      <c r="W150" s="39"/>
      <c r="X150" s="39"/>
    </row>
    <row r="151" spans="1:24">
      <c r="B151" s="15" t="s">
        <v>307</v>
      </c>
      <c r="C151" s="364" t="s">
        <v>303</v>
      </c>
      <c r="D151" s="388">
        <v>4</v>
      </c>
      <c r="E151" s="385" t="s">
        <v>306</v>
      </c>
      <c r="F151" s="15">
        <v>2013</v>
      </c>
      <c r="G151" s="364">
        <v>12</v>
      </c>
      <c r="H151" s="386">
        <v>0</v>
      </c>
      <c r="I151" s="387" t="s">
        <v>86</v>
      </c>
      <c r="J151" s="364">
        <v>5</v>
      </c>
      <c r="K151" s="388">
        <f>F151+J151</f>
        <v>2018</v>
      </c>
      <c r="L151" s="21">
        <f t="shared" si="137"/>
        <v>2019</v>
      </c>
      <c r="M151" s="20">
        <v>19885.309999999998</v>
      </c>
      <c r="N151" s="19">
        <f>M151-M151*H151</f>
        <v>19885.309999999998</v>
      </c>
      <c r="O151" s="19">
        <f>N151/J151/12</f>
        <v>331.42183333333327</v>
      </c>
      <c r="P151" s="19">
        <f t="shared" si="138"/>
        <v>3977.061999999999</v>
      </c>
      <c r="Q151" s="419">
        <f t="shared" si="130"/>
        <v>0</v>
      </c>
      <c r="R151" s="101"/>
      <c r="S151" s="390">
        <f t="shared" si="131"/>
        <v>19885.309999999998</v>
      </c>
      <c r="T151" s="19">
        <f t="shared" si="132"/>
        <v>19885.309999999998</v>
      </c>
      <c r="U151" s="19">
        <f t="shared" si="133"/>
        <v>0</v>
      </c>
    </row>
    <row r="152" spans="1:24">
      <c r="C152" s="364"/>
      <c r="E152" s="379"/>
      <c r="H152" s="386"/>
      <c r="I152" s="387"/>
      <c r="K152" s="388"/>
      <c r="M152" s="401"/>
      <c r="N152" s="401"/>
      <c r="O152" s="401"/>
      <c r="P152" s="28"/>
      <c r="Q152" s="28"/>
      <c r="R152" s="401"/>
      <c r="S152" s="401"/>
      <c r="T152" s="401"/>
      <c r="U152" s="401"/>
    </row>
    <row r="153" spans="1:24">
      <c r="C153" s="364"/>
      <c r="E153" s="412" t="s">
        <v>630</v>
      </c>
      <c r="F153" s="413"/>
      <c r="G153" s="414"/>
      <c r="H153" s="415"/>
      <c r="I153" s="416"/>
      <c r="J153" s="414"/>
      <c r="K153" s="417"/>
      <c r="L153" s="413"/>
      <c r="M153" s="424">
        <f>SUM(M136:M152)</f>
        <v>200564.17</v>
      </c>
      <c r="N153" s="424">
        <f t="shared" ref="N153:U153" si="154">SUM(N136:N152)</f>
        <v>200564.17</v>
      </c>
      <c r="O153" s="424">
        <f t="shared" si="154"/>
        <v>3063.8808333333336</v>
      </c>
      <c r="P153" s="424">
        <f t="shared" si="154"/>
        <v>36766.57</v>
      </c>
      <c r="Q153" s="424">
        <f t="shared" si="154"/>
        <v>0</v>
      </c>
      <c r="R153" s="424">
        <f t="shared" si="154"/>
        <v>0</v>
      </c>
      <c r="S153" s="424">
        <f t="shared" si="154"/>
        <v>191780.22700000001</v>
      </c>
      <c r="T153" s="424">
        <f t="shared" si="154"/>
        <v>200564.17</v>
      </c>
      <c r="U153" s="424">
        <f t="shared" si="154"/>
        <v>0</v>
      </c>
    </row>
    <row r="154" spans="1:24">
      <c r="C154" s="364"/>
      <c r="E154" s="379"/>
      <c r="H154" s="386"/>
      <c r="I154" s="387"/>
      <c r="K154" s="388"/>
      <c r="M154" s="401"/>
      <c r="N154" s="401"/>
      <c r="O154" s="401"/>
      <c r="P154" s="28"/>
      <c r="Q154" s="28"/>
      <c r="R154" s="401"/>
      <c r="S154" s="401"/>
      <c r="T154" s="401"/>
      <c r="U154" s="401"/>
    </row>
    <row r="155" spans="1:24">
      <c r="C155" s="364"/>
      <c r="E155" s="412" t="s">
        <v>14</v>
      </c>
      <c r="F155" s="413"/>
      <c r="G155" s="414"/>
      <c r="H155" s="415"/>
      <c r="I155" s="416"/>
      <c r="J155" s="414"/>
      <c r="K155" s="417"/>
      <c r="L155" s="413"/>
      <c r="M155" s="424">
        <f t="shared" ref="M155:U155" si="155">M37+M68+M99+M123+M86+M133+M153+M48</f>
        <v>6632641.4199999981</v>
      </c>
      <c r="N155" s="424">
        <f t="shared" si="155"/>
        <v>6632641.4199999981</v>
      </c>
      <c r="O155" s="424">
        <f t="shared" si="155"/>
        <v>79641.852073562972</v>
      </c>
      <c r="P155" s="424">
        <f t="shared" si="155"/>
        <v>955702.22488275566</v>
      </c>
      <c r="Q155" s="424">
        <f t="shared" si="155"/>
        <v>343433.64789477811</v>
      </c>
      <c r="R155" s="424">
        <f t="shared" si="155"/>
        <v>0</v>
      </c>
      <c r="S155" s="424">
        <f t="shared" si="155"/>
        <v>4584769.9036249369</v>
      </c>
      <c r="T155" s="424">
        <f t="shared" si="155"/>
        <v>5058875.2325197142</v>
      </c>
      <c r="U155" s="424">
        <f t="shared" si="155"/>
        <v>1573766.1874802846</v>
      </c>
    </row>
    <row r="156" spans="1:24">
      <c r="C156" s="364"/>
      <c r="D156" s="422"/>
      <c r="E156" s="366"/>
      <c r="F156" s="388"/>
      <c r="G156" s="387"/>
      <c r="H156" s="387"/>
      <c r="I156" s="387"/>
      <c r="K156" s="388"/>
      <c r="M156" s="401"/>
      <c r="N156" s="366"/>
      <c r="O156" s="366"/>
      <c r="P156" s="19"/>
      <c r="Q156" s="19"/>
      <c r="R156" s="366"/>
      <c r="S156" s="366"/>
      <c r="T156" s="366"/>
      <c r="U156" s="366"/>
    </row>
    <row r="157" spans="1:24">
      <c r="C157" s="364"/>
      <c r="E157" s="427" t="s">
        <v>646</v>
      </c>
      <c r="I157" s="387"/>
      <c r="K157" s="388"/>
      <c r="M157" s="422"/>
      <c r="N157" s="366"/>
      <c r="O157" s="366"/>
      <c r="P157" s="19"/>
      <c r="Q157" s="19"/>
      <c r="R157" s="366"/>
      <c r="S157" s="366"/>
      <c r="T157" s="366"/>
      <c r="U157" s="366"/>
    </row>
    <row r="158" spans="1:24">
      <c r="D158" s="15">
        <v>142</v>
      </c>
      <c r="E158" s="418" t="s">
        <v>16</v>
      </c>
      <c r="F158" s="15">
        <v>2000</v>
      </c>
      <c r="G158" s="364">
        <v>1</v>
      </c>
      <c r="H158" s="386">
        <v>0</v>
      </c>
      <c r="I158" s="387" t="s">
        <v>86</v>
      </c>
      <c r="J158" s="364">
        <v>10</v>
      </c>
      <c r="K158" s="388">
        <f t="shared" ref="K158:K170" si="156">F158+J158</f>
        <v>2010</v>
      </c>
      <c r="L158" s="21">
        <f t="shared" ref="L158:L167" si="157">+K158+(G158/12)</f>
        <v>2010.0833333333333</v>
      </c>
      <c r="M158" s="365">
        <v>25912</v>
      </c>
      <c r="N158" s="366">
        <f t="shared" ref="N158:N170" si="158">M158-M158*H158</f>
        <v>25912</v>
      </c>
      <c r="O158" s="366">
        <f t="shared" ref="O158:O170" si="159">N158/J158/12</f>
        <v>215.93333333333331</v>
      </c>
      <c r="P158" s="19">
        <f t="shared" ref="P158:P167" si="160">+O158*12</f>
        <v>2591.1999999999998</v>
      </c>
      <c r="Q158" s="419">
        <f t="shared" ref="Q158:Q211" si="161">+IF(L158&gt;$N$6,P158,0)</f>
        <v>0</v>
      </c>
      <c r="R158" s="101"/>
      <c r="S158" s="390">
        <f t="shared" ref="S158:S211" si="162">+IF($L158&lt;=$N$7,$M158,IF(($F158+($G158/12))&gt;=$N$7,0,((($N158-((($L158-$N$7)*12)*$O158))))))</f>
        <v>25912</v>
      </c>
      <c r="T158" s="19">
        <f t="shared" ref="T158:T211" si="163">IF(L158&lt;=$N$6,M158,Q158+S158)</f>
        <v>25912</v>
      </c>
      <c r="U158" s="19">
        <f t="shared" ref="U158:U211" si="164">+M158-T158</f>
        <v>0</v>
      </c>
    </row>
    <row r="159" spans="1:24">
      <c r="E159" s="418" t="s">
        <v>16</v>
      </c>
      <c r="F159" s="15">
        <v>2000</v>
      </c>
      <c r="G159" s="364">
        <v>1</v>
      </c>
      <c r="H159" s="386">
        <v>0</v>
      </c>
      <c r="I159" s="387" t="s">
        <v>86</v>
      </c>
      <c r="J159" s="364">
        <v>10</v>
      </c>
      <c r="K159" s="388">
        <f t="shared" si="156"/>
        <v>2010</v>
      </c>
      <c r="L159" s="21">
        <f t="shared" si="157"/>
        <v>2010.0833333333333</v>
      </c>
      <c r="M159" s="365">
        <v>2529</v>
      </c>
      <c r="N159" s="366">
        <f t="shared" si="158"/>
        <v>2529</v>
      </c>
      <c r="O159" s="366">
        <f t="shared" si="159"/>
        <v>21.074999999999999</v>
      </c>
      <c r="P159" s="19">
        <f t="shared" si="160"/>
        <v>252.89999999999998</v>
      </c>
      <c r="Q159" s="419">
        <f t="shared" si="161"/>
        <v>0</v>
      </c>
      <c r="R159" s="101"/>
      <c r="S159" s="390">
        <f t="shared" si="162"/>
        <v>2529</v>
      </c>
      <c r="T159" s="19">
        <f t="shared" si="163"/>
        <v>2529</v>
      </c>
      <c r="U159" s="19">
        <f t="shared" si="164"/>
        <v>0</v>
      </c>
    </row>
    <row r="160" spans="1:24">
      <c r="E160" s="418" t="s">
        <v>16</v>
      </c>
      <c r="F160" s="15">
        <v>2000</v>
      </c>
      <c r="G160" s="364">
        <v>6</v>
      </c>
      <c r="H160" s="386">
        <v>0</v>
      </c>
      <c r="I160" s="387" t="s">
        <v>86</v>
      </c>
      <c r="J160" s="364">
        <v>10</v>
      </c>
      <c r="K160" s="388">
        <f t="shared" si="156"/>
        <v>2010</v>
      </c>
      <c r="L160" s="21">
        <f t="shared" si="157"/>
        <v>2010.5</v>
      </c>
      <c r="M160" s="365">
        <v>10080</v>
      </c>
      <c r="N160" s="366">
        <f t="shared" si="158"/>
        <v>10080</v>
      </c>
      <c r="O160" s="366">
        <f t="shared" si="159"/>
        <v>84</v>
      </c>
      <c r="P160" s="19">
        <f t="shared" si="160"/>
        <v>1008</v>
      </c>
      <c r="Q160" s="419">
        <f t="shared" si="161"/>
        <v>0</v>
      </c>
      <c r="R160" s="101"/>
      <c r="S160" s="390">
        <f t="shared" si="162"/>
        <v>10080</v>
      </c>
      <c r="T160" s="19">
        <f t="shared" si="163"/>
        <v>10080</v>
      </c>
      <c r="U160" s="19">
        <f t="shared" si="164"/>
        <v>0</v>
      </c>
    </row>
    <row r="161" spans="4:21">
      <c r="E161" s="418" t="s">
        <v>16</v>
      </c>
      <c r="F161" s="15">
        <v>2000</v>
      </c>
      <c r="G161" s="364">
        <v>9</v>
      </c>
      <c r="H161" s="386">
        <v>0</v>
      </c>
      <c r="I161" s="387" t="s">
        <v>86</v>
      </c>
      <c r="J161" s="364">
        <v>10</v>
      </c>
      <c r="K161" s="388">
        <f t="shared" si="156"/>
        <v>2010</v>
      </c>
      <c r="L161" s="21">
        <f t="shared" si="157"/>
        <v>2010.75</v>
      </c>
      <c r="M161" s="365">
        <v>25912</v>
      </c>
      <c r="N161" s="366">
        <f t="shared" si="158"/>
        <v>25912</v>
      </c>
      <c r="O161" s="366">
        <f t="shared" si="159"/>
        <v>215.93333333333331</v>
      </c>
      <c r="P161" s="19">
        <f t="shared" si="160"/>
        <v>2591.1999999999998</v>
      </c>
      <c r="Q161" s="419">
        <f t="shared" si="161"/>
        <v>0</v>
      </c>
      <c r="R161" s="101"/>
      <c r="S161" s="390">
        <f t="shared" si="162"/>
        <v>25912</v>
      </c>
      <c r="T161" s="19">
        <f t="shared" si="163"/>
        <v>25912</v>
      </c>
      <c r="U161" s="19">
        <f t="shared" si="164"/>
        <v>0</v>
      </c>
    </row>
    <row r="162" spans="4:21">
      <c r="E162" s="418" t="s">
        <v>16</v>
      </c>
      <c r="F162" s="15">
        <v>2000</v>
      </c>
      <c r="G162" s="364">
        <v>10</v>
      </c>
      <c r="H162" s="386">
        <v>0</v>
      </c>
      <c r="I162" s="387" t="s">
        <v>86</v>
      </c>
      <c r="J162" s="364">
        <v>10</v>
      </c>
      <c r="K162" s="388">
        <f t="shared" si="156"/>
        <v>2010</v>
      </c>
      <c r="L162" s="21">
        <f t="shared" si="157"/>
        <v>2010.8333333333333</v>
      </c>
      <c r="M162" s="365">
        <v>25912</v>
      </c>
      <c r="N162" s="366">
        <f t="shared" si="158"/>
        <v>25912</v>
      </c>
      <c r="O162" s="366">
        <f t="shared" si="159"/>
        <v>215.93333333333331</v>
      </c>
      <c r="P162" s="19">
        <f t="shared" si="160"/>
        <v>2591.1999999999998</v>
      </c>
      <c r="Q162" s="419">
        <f t="shared" si="161"/>
        <v>0</v>
      </c>
      <c r="R162" s="101"/>
      <c r="S162" s="390">
        <f t="shared" si="162"/>
        <v>25912</v>
      </c>
      <c r="T162" s="19">
        <f t="shared" si="163"/>
        <v>25912</v>
      </c>
      <c r="U162" s="19">
        <f t="shared" si="164"/>
        <v>0</v>
      </c>
    </row>
    <row r="163" spans="4:21">
      <c r="D163" s="15">
        <v>15</v>
      </c>
      <c r="E163" s="385" t="s">
        <v>151</v>
      </c>
      <c r="F163" s="15">
        <v>2002</v>
      </c>
      <c r="G163" s="364">
        <v>12</v>
      </c>
      <c r="H163" s="386">
        <v>0</v>
      </c>
      <c r="I163" s="387" t="s">
        <v>86</v>
      </c>
      <c r="J163" s="364">
        <v>5</v>
      </c>
      <c r="K163" s="388">
        <f t="shared" si="156"/>
        <v>2007</v>
      </c>
      <c r="L163" s="21">
        <f t="shared" si="157"/>
        <v>2008</v>
      </c>
      <c r="M163" s="365">
        <v>849</v>
      </c>
      <c r="N163" s="366">
        <f t="shared" si="158"/>
        <v>849</v>
      </c>
      <c r="O163" s="366">
        <f t="shared" si="159"/>
        <v>14.15</v>
      </c>
      <c r="P163" s="19">
        <f t="shared" si="160"/>
        <v>169.8</v>
      </c>
      <c r="Q163" s="419">
        <f t="shared" si="161"/>
        <v>0</v>
      </c>
      <c r="R163" s="101"/>
      <c r="S163" s="390">
        <f t="shared" si="162"/>
        <v>849</v>
      </c>
      <c r="T163" s="19">
        <f t="shared" si="163"/>
        <v>849</v>
      </c>
      <c r="U163" s="19">
        <f t="shared" si="164"/>
        <v>0</v>
      </c>
    </row>
    <row r="164" spans="4:21">
      <c r="E164" s="385" t="s">
        <v>152</v>
      </c>
      <c r="F164" s="15">
        <v>2002</v>
      </c>
      <c r="G164" s="364">
        <v>12</v>
      </c>
      <c r="H164" s="386">
        <v>0</v>
      </c>
      <c r="I164" s="387" t="s">
        <v>86</v>
      </c>
      <c r="J164" s="364">
        <v>5</v>
      </c>
      <c r="K164" s="388">
        <f t="shared" si="156"/>
        <v>2007</v>
      </c>
      <c r="L164" s="21">
        <f t="shared" si="157"/>
        <v>2008</v>
      </c>
      <c r="M164" s="365">
        <f>1019+212+1420+3134</f>
        <v>5785</v>
      </c>
      <c r="N164" s="366">
        <f t="shared" si="158"/>
        <v>5785</v>
      </c>
      <c r="O164" s="366">
        <f t="shared" si="159"/>
        <v>96.416666666666671</v>
      </c>
      <c r="P164" s="19">
        <f t="shared" si="160"/>
        <v>1157</v>
      </c>
      <c r="Q164" s="419">
        <f t="shared" si="161"/>
        <v>0</v>
      </c>
      <c r="R164" s="101"/>
      <c r="S164" s="390">
        <f t="shared" si="162"/>
        <v>5785</v>
      </c>
      <c r="T164" s="19">
        <f t="shared" si="163"/>
        <v>5785</v>
      </c>
      <c r="U164" s="19">
        <f t="shared" si="164"/>
        <v>0</v>
      </c>
    </row>
    <row r="165" spans="4:21">
      <c r="E165" s="385" t="s">
        <v>153</v>
      </c>
      <c r="F165" s="15">
        <v>2003</v>
      </c>
      <c r="G165" s="364">
        <v>12</v>
      </c>
      <c r="H165" s="386">
        <v>0</v>
      </c>
      <c r="I165" s="387" t="s">
        <v>86</v>
      </c>
      <c r="J165" s="364">
        <v>10</v>
      </c>
      <c r="K165" s="388">
        <f t="shared" si="156"/>
        <v>2013</v>
      </c>
      <c r="L165" s="21">
        <f t="shared" si="157"/>
        <v>2014</v>
      </c>
      <c r="M165" s="365">
        <v>649</v>
      </c>
      <c r="N165" s="366">
        <f t="shared" si="158"/>
        <v>649</v>
      </c>
      <c r="O165" s="366">
        <f t="shared" si="159"/>
        <v>5.4083333333333341</v>
      </c>
      <c r="P165" s="19">
        <f t="shared" si="160"/>
        <v>64.900000000000006</v>
      </c>
      <c r="Q165" s="419">
        <f t="shared" si="161"/>
        <v>0</v>
      </c>
      <c r="R165" s="101"/>
      <c r="S165" s="390">
        <f t="shared" si="162"/>
        <v>649</v>
      </c>
      <c r="T165" s="19">
        <f t="shared" si="163"/>
        <v>649</v>
      </c>
      <c r="U165" s="19">
        <f t="shared" si="164"/>
        <v>0</v>
      </c>
    </row>
    <row r="166" spans="4:21">
      <c r="D166" s="15">
        <v>30</v>
      </c>
      <c r="E166" s="385" t="s">
        <v>154</v>
      </c>
      <c r="F166" s="15">
        <v>2003</v>
      </c>
      <c r="G166" s="364">
        <v>12</v>
      </c>
      <c r="H166" s="386">
        <v>0</v>
      </c>
      <c r="I166" s="387" t="s">
        <v>86</v>
      </c>
      <c r="J166" s="364">
        <v>10</v>
      </c>
      <c r="K166" s="388">
        <f t="shared" si="156"/>
        <v>2013</v>
      </c>
      <c r="L166" s="21">
        <f t="shared" si="157"/>
        <v>2014</v>
      </c>
      <c r="M166" s="365">
        <v>10240</v>
      </c>
      <c r="N166" s="366">
        <f t="shared" si="158"/>
        <v>10240</v>
      </c>
      <c r="O166" s="366">
        <f t="shared" si="159"/>
        <v>85.333333333333329</v>
      </c>
      <c r="P166" s="19">
        <f t="shared" si="160"/>
        <v>1024</v>
      </c>
      <c r="Q166" s="419">
        <f t="shared" si="161"/>
        <v>0</v>
      </c>
      <c r="R166" s="101"/>
      <c r="S166" s="390">
        <f t="shared" si="162"/>
        <v>10240</v>
      </c>
      <c r="T166" s="19">
        <f t="shared" si="163"/>
        <v>10240</v>
      </c>
      <c r="U166" s="19">
        <f t="shared" si="164"/>
        <v>0</v>
      </c>
    </row>
    <row r="167" spans="4:21">
      <c r="D167" s="15">
        <v>17</v>
      </c>
      <c r="E167" s="385" t="s">
        <v>155</v>
      </c>
      <c r="F167" s="15">
        <v>2003</v>
      </c>
      <c r="G167" s="364">
        <v>12</v>
      </c>
      <c r="H167" s="386">
        <v>0</v>
      </c>
      <c r="I167" s="387" t="s">
        <v>86</v>
      </c>
      <c r="J167" s="364">
        <v>10</v>
      </c>
      <c r="K167" s="388">
        <f t="shared" si="156"/>
        <v>2013</v>
      </c>
      <c r="L167" s="21">
        <f t="shared" si="157"/>
        <v>2014</v>
      </c>
      <c r="M167" s="365">
        <v>5623</v>
      </c>
      <c r="N167" s="366">
        <f t="shared" si="158"/>
        <v>5623</v>
      </c>
      <c r="O167" s="366">
        <f t="shared" si="159"/>
        <v>46.858333333333327</v>
      </c>
      <c r="P167" s="19">
        <f t="shared" si="160"/>
        <v>562.29999999999995</v>
      </c>
      <c r="Q167" s="419">
        <f t="shared" si="161"/>
        <v>0</v>
      </c>
      <c r="R167" s="101"/>
      <c r="S167" s="390">
        <f t="shared" si="162"/>
        <v>5623</v>
      </c>
      <c r="T167" s="19">
        <f t="shared" si="163"/>
        <v>5623</v>
      </c>
      <c r="U167" s="19">
        <f t="shared" si="164"/>
        <v>0</v>
      </c>
    </row>
    <row r="168" spans="4:21">
      <c r="D168" s="15">
        <v>30</v>
      </c>
      <c r="E168" s="385" t="s">
        <v>156</v>
      </c>
      <c r="F168" s="15">
        <v>2004</v>
      </c>
      <c r="G168" s="364">
        <v>5</v>
      </c>
      <c r="H168" s="386">
        <v>0</v>
      </c>
      <c r="I168" s="387" t="s">
        <v>86</v>
      </c>
      <c r="J168" s="364">
        <v>7</v>
      </c>
      <c r="K168" s="388">
        <f t="shared" si="156"/>
        <v>2011</v>
      </c>
      <c r="L168" s="21">
        <f t="shared" ref="L168:L227" si="165">+K168+(G168/12)</f>
        <v>2011.4166666666667</v>
      </c>
      <c r="M168" s="365">
        <v>4101</v>
      </c>
      <c r="N168" s="366">
        <f t="shared" si="158"/>
        <v>4101</v>
      </c>
      <c r="O168" s="366">
        <f t="shared" si="159"/>
        <v>48.821428571428577</v>
      </c>
      <c r="P168" s="19">
        <f t="shared" ref="P168:P204" si="166">+O168*12</f>
        <v>585.85714285714289</v>
      </c>
      <c r="Q168" s="419">
        <f t="shared" si="161"/>
        <v>0</v>
      </c>
      <c r="R168" s="101"/>
      <c r="S168" s="390">
        <f t="shared" si="162"/>
        <v>4101</v>
      </c>
      <c r="T168" s="19">
        <f t="shared" si="163"/>
        <v>4101</v>
      </c>
      <c r="U168" s="19">
        <f t="shared" si="164"/>
        <v>0</v>
      </c>
    </row>
    <row r="169" spans="4:21">
      <c r="E169" s="385" t="s">
        <v>157</v>
      </c>
      <c r="F169" s="15">
        <v>2004</v>
      </c>
      <c r="G169" s="364">
        <v>5</v>
      </c>
      <c r="H169" s="386">
        <v>0</v>
      </c>
      <c r="I169" s="387" t="s">
        <v>86</v>
      </c>
      <c r="J169" s="364">
        <v>7</v>
      </c>
      <c r="K169" s="388">
        <f t="shared" si="156"/>
        <v>2011</v>
      </c>
      <c r="L169" s="21">
        <f t="shared" si="165"/>
        <v>2011.4166666666667</v>
      </c>
      <c r="M169" s="365">
        <f>3851+662</f>
        <v>4513</v>
      </c>
      <c r="N169" s="366">
        <f t="shared" si="158"/>
        <v>4513</v>
      </c>
      <c r="O169" s="366">
        <f t="shared" si="159"/>
        <v>53.726190476190474</v>
      </c>
      <c r="P169" s="19">
        <f t="shared" si="166"/>
        <v>644.71428571428567</v>
      </c>
      <c r="Q169" s="419">
        <f t="shared" si="161"/>
        <v>0</v>
      </c>
      <c r="R169" s="101"/>
      <c r="S169" s="390">
        <f t="shared" si="162"/>
        <v>4513</v>
      </c>
      <c r="T169" s="19">
        <f t="shared" si="163"/>
        <v>4513</v>
      </c>
      <c r="U169" s="19">
        <f t="shared" si="164"/>
        <v>0</v>
      </c>
    </row>
    <row r="170" spans="4:21">
      <c r="D170" s="15">
        <v>18</v>
      </c>
      <c r="E170" s="385" t="s">
        <v>158</v>
      </c>
      <c r="F170" s="15">
        <v>2004</v>
      </c>
      <c r="G170" s="364">
        <v>6</v>
      </c>
      <c r="H170" s="386">
        <v>0</v>
      </c>
      <c r="I170" s="387" t="s">
        <v>86</v>
      </c>
      <c r="J170" s="364">
        <v>10</v>
      </c>
      <c r="K170" s="388">
        <f t="shared" si="156"/>
        <v>2014</v>
      </c>
      <c r="L170" s="21">
        <f t="shared" si="165"/>
        <v>2014.5</v>
      </c>
      <c r="M170" s="365">
        <v>7272</v>
      </c>
      <c r="N170" s="366">
        <f t="shared" si="158"/>
        <v>7272</v>
      </c>
      <c r="O170" s="366">
        <f t="shared" si="159"/>
        <v>60.6</v>
      </c>
      <c r="P170" s="19">
        <f t="shared" si="166"/>
        <v>727.2</v>
      </c>
      <c r="Q170" s="419">
        <f t="shared" si="161"/>
        <v>0</v>
      </c>
      <c r="R170" s="101"/>
      <c r="S170" s="390">
        <f t="shared" si="162"/>
        <v>7272</v>
      </c>
      <c r="T170" s="19">
        <f t="shared" si="163"/>
        <v>7272</v>
      </c>
      <c r="U170" s="19">
        <f t="shared" si="164"/>
        <v>0</v>
      </c>
    </row>
    <row r="171" spans="4:21">
      <c r="D171" s="15">
        <v>5</v>
      </c>
      <c r="E171" s="385" t="s">
        <v>159</v>
      </c>
      <c r="F171" s="15">
        <v>2004</v>
      </c>
      <c r="G171" s="364">
        <v>6</v>
      </c>
      <c r="H171" s="386">
        <v>0</v>
      </c>
      <c r="I171" s="387" t="s">
        <v>86</v>
      </c>
      <c r="J171" s="364">
        <v>10</v>
      </c>
      <c r="K171" s="388">
        <f t="shared" ref="K171:K204" si="167">F171+J171</f>
        <v>2014</v>
      </c>
      <c r="L171" s="21">
        <f t="shared" si="165"/>
        <v>2014.5</v>
      </c>
      <c r="M171" s="365">
        <v>1875</v>
      </c>
      <c r="N171" s="366">
        <f t="shared" ref="N171:N204" si="168">M171-M171*H171</f>
        <v>1875</v>
      </c>
      <c r="O171" s="366">
        <f t="shared" ref="O171:O204" si="169">N171/J171/12</f>
        <v>15.625</v>
      </c>
      <c r="P171" s="19">
        <f t="shared" si="166"/>
        <v>187.5</v>
      </c>
      <c r="Q171" s="419">
        <f t="shared" si="161"/>
        <v>0</v>
      </c>
      <c r="R171" s="101"/>
      <c r="S171" s="390">
        <f t="shared" si="162"/>
        <v>1875</v>
      </c>
      <c r="T171" s="19">
        <f t="shared" si="163"/>
        <v>1875</v>
      </c>
      <c r="U171" s="19">
        <f t="shared" si="164"/>
        <v>0</v>
      </c>
    </row>
    <row r="172" spans="4:21">
      <c r="E172" s="385" t="s">
        <v>157</v>
      </c>
      <c r="F172" s="15">
        <v>2004</v>
      </c>
      <c r="G172" s="364">
        <v>8</v>
      </c>
      <c r="H172" s="386">
        <v>0</v>
      </c>
      <c r="I172" s="387" t="s">
        <v>86</v>
      </c>
      <c r="J172" s="364">
        <v>7</v>
      </c>
      <c r="K172" s="388">
        <f t="shared" si="167"/>
        <v>2011</v>
      </c>
      <c r="L172" s="21">
        <f t="shared" si="165"/>
        <v>2011.6666666666667</v>
      </c>
      <c r="M172" s="365">
        <f>993+1189+1323+1195</f>
        <v>4700</v>
      </c>
      <c r="N172" s="366">
        <f t="shared" si="168"/>
        <v>4700</v>
      </c>
      <c r="O172" s="366">
        <f t="shared" si="169"/>
        <v>55.952380952380956</v>
      </c>
      <c r="P172" s="19">
        <f t="shared" si="166"/>
        <v>671.42857142857144</v>
      </c>
      <c r="Q172" s="419">
        <f t="shared" si="161"/>
        <v>0</v>
      </c>
      <c r="R172" s="101"/>
      <c r="S172" s="390">
        <f t="shared" si="162"/>
        <v>4700</v>
      </c>
      <c r="T172" s="19">
        <f t="shared" si="163"/>
        <v>4700</v>
      </c>
      <c r="U172" s="19">
        <f t="shared" si="164"/>
        <v>0</v>
      </c>
    </row>
    <row r="173" spans="4:21">
      <c r="D173" s="15">
        <v>24</v>
      </c>
      <c r="E173" s="385" t="s">
        <v>158</v>
      </c>
      <c r="F173" s="15">
        <v>2005</v>
      </c>
      <c r="G173" s="364">
        <v>7</v>
      </c>
      <c r="H173" s="386">
        <v>0</v>
      </c>
      <c r="I173" s="387" t="s">
        <v>86</v>
      </c>
      <c r="J173" s="364">
        <v>10</v>
      </c>
      <c r="K173" s="388">
        <f t="shared" si="167"/>
        <v>2015</v>
      </c>
      <c r="L173" s="21">
        <f t="shared" si="165"/>
        <v>2015.5833333333333</v>
      </c>
      <c r="M173" s="365">
        <v>10944</v>
      </c>
      <c r="N173" s="366">
        <f t="shared" si="168"/>
        <v>10944</v>
      </c>
      <c r="O173" s="366">
        <f t="shared" si="169"/>
        <v>91.2</v>
      </c>
      <c r="P173" s="19">
        <f t="shared" si="166"/>
        <v>1094.4000000000001</v>
      </c>
      <c r="Q173" s="419">
        <f t="shared" si="161"/>
        <v>0</v>
      </c>
      <c r="R173" s="101"/>
      <c r="S173" s="390">
        <f t="shared" si="162"/>
        <v>10944</v>
      </c>
      <c r="T173" s="19">
        <f t="shared" si="163"/>
        <v>10944</v>
      </c>
      <c r="U173" s="19">
        <f t="shared" si="164"/>
        <v>0</v>
      </c>
    </row>
    <row r="174" spans="4:21">
      <c r="D174" s="15">
        <v>9</v>
      </c>
      <c r="E174" s="385" t="s">
        <v>159</v>
      </c>
      <c r="F174" s="15">
        <v>2005</v>
      </c>
      <c r="G174" s="364">
        <v>7</v>
      </c>
      <c r="H174" s="386">
        <v>0</v>
      </c>
      <c r="I174" s="387" t="s">
        <v>86</v>
      </c>
      <c r="J174" s="364">
        <v>10</v>
      </c>
      <c r="K174" s="388">
        <f t="shared" si="167"/>
        <v>2015</v>
      </c>
      <c r="L174" s="21">
        <f t="shared" si="165"/>
        <v>2015.5833333333333</v>
      </c>
      <c r="M174" s="365">
        <v>3933</v>
      </c>
      <c r="N174" s="366">
        <f t="shared" si="168"/>
        <v>3933</v>
      </c>
      <c r="O174" s="366">
        <f t="shared" si="169"/>
        <v>32.774999999999999</v>
      </c>
      <c r="P174" s="19">
        <f t="shared" si="166"/>
        <v>393.29999999999995</v>
      </c>
      <c r="Q174" s="419">
        <f t="shared" si="161"/>
        <v>0</v>
      </c>
      <c r="R174" s="101"/>
      <c r="S174" s="390">
        <f t="shared" si="162"/>
        <v>3933</v>
      </c>
      <c r="T174" s="19">
        <f t="shared" si="163"/>
        <v>3933</v>
      </c>
      <c r="U174" s="19">
        <f t="shared" si="164"/>
        <v>0</v>
      </c>
    </row>
    <row r="175" spans="4:21">
      <c r="D175" s="15">
        <v>50</v>
      </c>
      <c r="E175" s="385" t="s">
        <v>158</v>
      </c>
      <c r="F175" s="15">
        <v>2006</v>
      </c>
      <c r="G175" s="364">
        <v>3</v>
      </c>
      <c r="H175" s="386">
        <v>0</v>
      </c>
      <c r="I175" s="387" t="s">
        <v>86</v>
      </c>
      <c r="J175" s="364">
        <v>10</v>
      </c>
      <c r="K175" s="388">
        <f t="shared" si="167"/>
        <v>2016</v>
      </c>
      <c r="L175" s="21">
        <f t="shared" si="165"/>
        <v>2016.25</v>
      </c>
      <c r="M175" s="365">
        <f>435*50</f>
        <v>21750</v>
      </c>
      <c r="N175" s="366">
        <f t="shared" si="168"/>
        <v>21750</v>
      </c>
      <c r="O175" s="366">
        <f t="shared" si="169"/>
        <v>181.25</v>
      </c>
      <c r="P175" s="19">
        <f t="shared" si="166"/>
        <v>2175</v>
      </c>
      <c r="Q175" s="419">
        <f t="shared" si="161"/>
        <v>0</v>
      </c>
      <c r="R175" s="101"/>
      <c r="S175" s="390">
        <f t="shared" si="162"/>
        <v>21750</v>
      </c>
      <c r="T175" s="19">
        <f t="shared" si="163"/>
        <v>21750</v>
      </c>
      <c r="U175" s="19">
        <f t="shared" si="164"/>
        <v>0</v>
      </c>
    </row>
    <row r="176" spans="4:21">
      <c r="D176" s="15">
        <v>20</v>
      </c>
      <c r="E176" s="385" t="s">
        <v>159</v>
      </c>
      <c r="F176" s="15">
        <v>2006</v>
      </c>
      <c r="G176" s="364">
        <v>3</v>
      </c>
      <c r="H176" s="386">
        <v>0</v>
      </c>
      <c r="I176" s="387" t="s">
        <v>86</v>
      </c>
      <c r="J176" s="364">
        <v>10</v>
      </c>
      <c r="K176" s="388">
        <f t="shared" si="167"/>
        <v>2016</v>
      </c>
      <c r="L176" s="21">
        <f t="shared" si="165"/>
        <v>2016.25</v>
      </c>
      <c r="M176" s="365">
        <f>415*20</f>
        <v>8300</v>
      </c>
      <c r="N176" s="366">
        <f t="shared" si="168"/>
        <v>8300</v>
      </c>
      <c r="O176" s="366">
        <f t="shared" si="169"/>
        <v>69.166666666666671</v>
      </c>
      <c r="P176" s="19">
        <f t="shared" si="166"/>
        <v>830</v>
      </c>
      <c r="Q176" s="419">
        <f t="shared" si="161"/>
        <v>0</v>
      </c>
      <c r="R176" s="101"/>
      <c r="S176" s="390">
        <f t="shared" si="162"/>
        <v>8300</v>
      </c>
      <c r="T176" s="19">
        <f t="shared" si="163"/>
        <v>8300</v>
      </c>
      <c r="U176" s="19">
        <f t="shared" si="164"/>
        <v>0</v>
      </c>
    </row>
    <row r="177" spans="2:21">
      <c r="D177" s="15">
        <v>53</v>
      </c>
      <c r="E177" s="385" t="s">
        <v>160</v>
      </c>
      <c r="F177" s="15">
        <v>2007</v>
      </c>
      <c r="G177" s="364">
        <v>5</v>
      </c>
      <c r="H177" s="386">
        <v>0</v>
      </c>
      <c r="I177" s="387" t="s">
        <v>86</v>
      </c>
      <c r="J177" s="364">
        <v>10</v>
      </c>
      <c r="K177" s="388">
        <f t="shared" si="167"/>
        <v>2017</v>
      </c>
      <c r="L177" s="21">
        <f t="shared" si="165"/>
        <v>2017.4166666666667</v>
      </c>
      <c r="M177" s="365">
        <v>22048</v>
      </c>
      <c r="N177" s="366">
        <f t="shared" si="168"/>
        <v>22048</v>
      </c>
      <c r="O177" s="366">
        <f t="shared" si="169"/>
        <v>183.73333333333335</v>
      </c>
      <c r="P177" s="19">
        <f t="shared" si="166"/>
        <v>2204.8000000000002</v>
      </c>
      <c r="Q177" s="419">
        <f t="shared" si="161"/>
        <v>0</v>
      </c>
      <c r="R177" s="101"/>
      <c r="S177" s="390">
        <f t="shared" si="162"/>
        <v>22048</v>
      </c>
      <c r="T177" s="19">
        <f t="shared" si="163"/>
        <v>22048</v>
      </c>
      <c r="U177" s="19">
        <f t="shared" si="164"/>
        <v>0</v>
      </c>
    </row>
    <row r="178" spans="2:21">
      <c r="D178" s="15">
        <v>26</v>
      </c>
      <c r="E178" s="385" t="s">
        <v>161</v>
      </c>
      <c r="F178" s="15">
        <v>2007</v>
      </c>
      <c r="G178" s="364">
        <v>5</v>
      </c>
      <c r="H178" s="386">
        <v>0</v>
      </c>
      <c r="I178" s="387" t="s">
        <v>86</v>
      </c>
      <c r="J178" s="364">
        <v>10</v>
      </c>
      <c r="K178" s="388">
        <f t="shared" si="167"/>
        <v>2017</v>
      </c>
      <c r="L178" s="21">
        <f t="shared" si="165"/>
        <v>2017.4166666666667</v>
      </c>
      <c r="M178" s="365">
        <v>10348</v>
      </c>
      <c r="N178" s="366">
        <f t="shared" si="168"/>
        <v>10348</v>
      </c>
      <c r="O178" s="366">
        <f t="shared" si="169"/>
        <v>86.233333333333334</v>
      </c>
      <c r="P178" s="19">
        <f t="shared" si="166"/>
        <v>1034.8</v>
      </c>
      <c r="Q178" s="419">
        <f t="shared" si="161"/>
        <v>0</v>
      </c>
      <c r="R178" s="101"/>
      <c r="S178" s="390">
        <f t="shared" si="162"/>
        <v>10348</v>
      </c>
      <c r="T178" s="19">
        <f t="shared" si="163"/>
        <v>10348</v>
      </c>
      <c r="U178" s="19">
        <f t="shared" si="164"/>
        <v>0</v>
      </c>
    </row>
    <row r="179" spans="2:21">
      <c r="D179" s="15">
        <v>25</v>
      </c>
      <c r="E179" s="385" t="s">
        <v>162</v>
      </c>
      <c r="F179" s="15">
        <v>2007</v>
      </c>
      <c r="G179" s="364">
        <v>11</v>
      </c>
      <c r="H179" s="386">
        <v>0</v>
      </c>
      <c r="I179" s="387" t="s">
        <v>86</v>
      </c>
      <c r="J179" s="364">
        <v>10</v>
      </c>
      <c r="K179" s="388">
        <f t="shared" si="167"/>
        <v>2017</v>
      </c>
      <c r="L179" s="21">
        <f t="shared" si="165"/>
        <v>2017.9166666666667</v>
      </c>
      <c r="M179" s="365">
        <f>416*25</f>
        <v>10400</v>
      </c>
      <c r="N179" s="366">
        <f t="shared" si="168"/>
        <v>10400</v>
      </c>
      <c r="O179" s="366">
        <f t="shared" si="169"/>
        <v>86.666666666666671</v>
      </c>
      <c r="P179" s="19">
        <f t="shared" si="166"/>
        <v>1040</v>
      </c>
      <c r="Q179" s="419">
        <f t="shared" si="161"/>
        <v>0</v>
      </c>
      <c r="R179" s="101"/>
      <c r="S179" s="390">
        <f t="shared" si="162"/>
        <v>10400</v>
      </c>
      <c r="T179" s="19">
        <f t="shared" si="163"/>
        <v>10400</v>
      </c>
      <c r="U179" s="19">
        <f t="shared" si="164"/>
        <v>0</v>
      </c>
    </row>
    <row r="180" spans="2:21">
      <c r="D180" s="15">
        <v>7</v>
      </c>
      <c r="E180" s="385" t="s">
        <v>163</v>
      </c>
      <c r="F180" s="15">
        <v>2007</v>
      </c>
      <c r="G180" s="364">
        <v>11</v>
      </c>
      <c r="H180" s="386">
        <v>0</v>
      </c>
      <c r="I180" s="387" t="s">
        <v>86</v>
      </c>
      <c r="J180" s="364">
        <v>10</v>
      </c>
      <c r="K180" s="388">
        <f t="shared" si="167"/>
        <v>2017</v>
      </c>
      <c r="L180" s="21">
        <f t="shared" si="165"/>
        <v>2017.9166666666667</v>
      </c>
      <c r="M180" s="365">
        <f>398*7</f>
        <v>2786</v>
      </c>
      <c r="N180" s="366">
        <f t="shared" si="168"/>
        <v>2786</v>
      </c>
      <c r="O180" s="366">
        <f t="shared" si="169"/>
        <v>23.216666666666669</v>
      </c>
      <c r="P180" s="19">
        <f t="shared" si="166"/>
        <v>278.60000000000002</v>
      </c>
      <c r="Q180" s="419">
        <f t="shared" si="161"/>
        <v>0</v>
      </c>
      <c r="R180" s="101"/>
      <c r="S180" s="390">
        <f t="shared" si="162"/>
        <v>2786</v>
      </c>
      <c r="T180" s="19">
        <f t="shared" si="163"/>
        <v>2786</v>
      </c>
      <c r="U180" s="19">
        <f t="shared" si="164"/>
        <v>0</v>
      </c>
    </row>
    <row r="181" spans="2:21">
      <c r="D181" s="15">
        <v>11</v>
      </c>
      <c r="E181" s="385" t="s">
        <v>164</v>
      </c>
      <c r="F181" s="15">
        <v>2008</v>
      </c>
      <c r="G181" s="364">
        <v>9</v>
      </c>
      <c r="H181" s="386">
        <v>0</v>
      </c>
      <c r="I181" s="387" t="s">
        <v>86</v>
      </c>
      <c r="J181" s="364">
        <v>10</v>
      </c>
      <c r="K181" s="388">
        <f t="shared" si="167"/>
        <v>2018</v>
      </c>
      <c r="L181" s="21">
        <f t="shared" si="165"/>
        <v>2018.75</v>
      </c>
      <c r="M181" s="365">
        <f>479*11+859</f>
        <v>6128</v>
      </c>
      <c r="N181" s="366">
        <f t="shared" si="168"/>
        <v>6128</v>
      </c>
      <c r="O181" s="366">
        <f t="shared" si="169"/>
        <v>51.066666666666663</v>
      </c>
      <c r="P181" s="19">
        <f t="shared" si="166"/>
        <v>612.79999999999995</v>
      </c>
      <c r="Q181" s="419">
        <f t="shared" si="161"/>
        <v>0</v>
      </c>
      <c r="R181" s="101"/>
      <c r="S181" s="390">
        <f t="shared" si="162"/>
        <v>6128</v>
      </c>
      <c r="T181" s="19">
        <f t="shared" si="163"/>
        <v>6128</v>
      </c>
      <c r="U181" s="19">
        <f t="shared" si="164"/>
        <v>0</v>
      </c>
    </row>
    <row r="182" spans="2:21">
      <c r="D182" s="15">
        <v>21</v>
      </c>
      <c r="E182" s="385" t="s">
        <v>165</v>
      </c>
      <c r="F182" s="15">
        <v>2008</v>
      </c>
      <c r="G182" s="364">
        <v>9</v>
      </c>
      <c r="H182" s="386">
        <v>0</v>
      </c>
      <c r="I182" s="387" t="s">
        <v>86</v>
      </c>
      <c r="J182" s="364">
        <v>10</v>
      </c>
      <c r="K182" s="388">
        <f t="shared" si="167"/>
        <v>2018</v>
      </c>
      <c r="L182" s="21">
        <f t="shared" si="165"/>
        <v>2018.75</v>
      </c>
      <c r="M182" s="365">
        <f>499*21+1341</f>
        <v>11820</v>
      </c>
      <c r="N182" s="366">
        <f t="shared" si="168"/>
        <v>11820</v>
      </c>
      <c r="O182" s="366">
        <f t="shared" si="169"/>
        <v>98.5</v>
      </c>
      <c r="P182" s="19">
        <f t="shared" si="166"/>
        <v>1182</v>
      </c>
      <c r="Q182" s="419">
        <f t="shared" si="161"/>
        <v>0</v>
      </c>
      <c r="R182" s="101"/>
      <c r="S182" s="390">
        <f t="shared" si="162"/>
        <v>11820</v>
      </c>
      <c r="T182" s="19">
        <f t="shared" si="163"/>
        <v>11820</v>
      </c>
      <c r="U182" s="19">
        <f t="shared" si="164"/>
        <v>0</v>
      </c>
    </row>
    <row r="183" spans="2:21">
      <c r="B183" s="15">
        <v>237932</v>
      </c>
      <c r="D183" s="15">
        <v>1</v>
      </c>
      <c r="E183" s="385" t="s">
        <v>572</v>
      </c>
      <c r="F183" s="15">
        <v>2008</v>
      </c>
      <c r="G183" s="364">
        <v>11</v>
      </c>
      <c r="H183" s="386">
        <v>0</v>
      </c>
      <c r="I183" s="387" t="s">
        <v>86</v>
      </c>
      <c r="J183" s="364">
        <v>7</v>
      </c>
      <c r="K183" s="388">
        <f>F183+J183</f>
        <v>2015</v>
      </c>
      <c r="L183" s="21">
        <f>+K183+(G183/12)</f>
        <v>2015.9166666666667</v>
      </c>
      <c r="M183" s="24">
        <v>624.67999999999995</v>
      </c>
      <c r="N183" s="19">
        <f>M183-M183*H183</f>
        <v>624.67999999999995</v>
      </c>
      <c r="O183" s="19">
        <f>N183/J183/12</f>
        <v>7.4366666666666665</v>
      </c>
      <c r="P183" s="19">
        <f>+O183*12</f>
        <v>89.24</v>
      </c>
      <c r="Q183" s="419">
        <f t="shared" si="161"/>
        <v>0</v>
      </c>
      <c r="R183" s="101"/>
      <c r="S183" s="390">
        <f t="shared" si="162"/>
        <v>624.67999999999995</v>
      </c>
      <c r="T183" s="19">
        <f t="shared" si="163"/>
        <v>624.67999999999995</v>
      </c>
      <c r="U183" s="19">
        <f t="shared" si="164"/>
        <v>0</v>
      </c>
    </row>
    <row r="184" spans="2:21">
      <c r="D184" s="15">
        <v>3</v>
      </c>
      <c r="E184" s="385" t="s">
        <v>166</v>
      </c>
      <c r="F184" s="15">
        <v>2010</v>
      </c>
      <c r="G184" s="364">
        <v>5</v>
      </c>
      <c r="H184" s="386">
        <v>0</v>
      </c>
      <c r="I184" s="387" t="s">
        <v>86</v>
      </c>
      <c r="J184" s="364">
        <v>10</v>
      </c>
      <c r="K184" s="388">
        <f t="shared" si="167"/>
        <v>2020</v>
      </c>
      <c r="L184" s="21">
        <f t="shared" si="165"/>
        <v>2020.4166666666667</v>
      </c>
      <c r="M184" s="365">
        <v>1566.38</v>
      </c>
      <c r="N184" s="366">
        <f t="shared" si="168"/>
        <v>1566.38</v>
      </c>
      <c r="O184" s="366">
        <f t="shared" si="169"/>
        <v>13.053166666666668</v>
      </c>
      <c r="P184" s="19">
        <f t="shared" si="166"/>
        <v>156.63800000000001</v>
      </c>
      <c r="Q184" s="419">
        <f t="shared" si="161"/>
        <v>0</v>
      </c>
      <c r="R184" s="101"/>
      <c r="S184" s="390">
        <f t="shared" si="162"/>
        <v>1566.38</v>
      </c>
      <c r="T184" s="19">
        <f t="shared" si="163"/>
        <v>1566.38</v>
      </c>
      <c r="U184" s="19">
        <f t="shared" si="164"/>
        <v>0</v>
      </c>
    </row>
    <row r="185" spans="2:21">
      <c r="D185" s="15">
        <v>32</v>
      </c>
      <c r="E185" s="385" t="s">
        <v>167</v>
      </c>
      <c r="F185" s="15">
        <v>2010</v>
      </c>
      <c r="G185" s="364">
        <v>5</v>
      </c>
      <c r="H185" s="386">
        <v>0</v>
      </c>
      <c r="I185" s="387" t="s">
        <v>86</v>
      </c>
      <c r="J185" s="364">
        <v>10</v>
      </c>
      <c r="K185" s="388">
        <f t="shared" si="167"/>
        <v>2020</v>
      </c>
      <c r="L185" s="21">
        <f t="shared" si="165"/>
        <v>2020.4166666666667</v>
      </c>
      <c r="M185" s="365">
        <v>15312.58</v>
      </c>
      <c r="N185" s="366">
        <f t="shared" si="168"/>
        <v>15312.58</v>
      </c>
      <c r="O185" s="366">
        <f t="shared" si="169"/>
        <v>127.60483333333333</v>
      </c>
      <c r="P185" s="19">
        <f t="shared" si="166"/>
        <v>1531.258</v>
      </c>
      <c r="Q185" s="419">
        <f t="shared" si="161"/>
        <v>0</v>
      </c>
      <c r="R185" s="101"/>
      <c r="S185" s="390">
        <f t="shared" si="162"/>
        <v>15312.58</v>
      </c>
      <c r="T185" s="19">
        <f t="shared" si="163"/>
        <v>15312.58</v>
      </c>
      <c r="U185" s="19">
        <f t="shared" si="164"/>
        <v>0</v>
      </c>
    </row>
    <row r="186" spans="2:21">
      <c r="D186" s="15">
        <v>6</v>
      </c>
      <c r="E186" s="385" t="s">
        <v>168</v>
      </c>
      <c r="F186" s="15">
        <v>2010</v>
      </c>
      <c r="G186" s="364">
        <v>5</v>
      </c>
      <c r="H186" s="386">
        <v>0</v>
      </c>
      <c r="I186" s="387" t="s">
        <v>86</v>
      </c>
      <c r="J186" s="364">
        <v>10</v>
      </c>
      <c r="K186" s="388">
        <f t="shared" si="167"/>
        <v>2020</v>
      </c>
      <c r="L186" s="21">
        <f t="shared" si="165"/>
        <v>2020.4166666666667</v>
      </c>
      <c r="M186" s="365">
        <v>2610</v>
      </c>
      <c r="N186" s="366">
        <f t="shared" si="168"/>
        <v>2610</v>
      </c>
      <c r="O186" s="366">
        <f t="shared" si="169"/>
        <v>21.75</v>
      </c>
      <c r="P186" s="19">
        <f t="shared" si="166"/>
        <v>261</v>
      </c>
      <c r="Q186" s="419">
        <f t="shared" si="161"/>
        <v>0</v>
      </c>
      <c r="R186" s="101"/>
      <c r="S186" s="390">
        <f t="shared" si="162"/>
        <v>2610</v>
      </c>
      <c r="T186" s="19">
        <f t="shared" si="163"/>
        <v>2610</v>
      </c>
      <c r="U186" s="19">
        <f t="shared" si="164"/>
        <v>0</v>
      </c>
    </row>
    <row r="187" spans="2:21">
      <c r="D187" s="15">
        <v>12</v>
      </c>
      <c r="E187" s="385" t="s">
        <v>169</v>
      </c>
      <c r="F187" s="15">
        <v>2011</v>
      </c>
      <c r="G187" s="364">
        <v>5</v>
      </c>
      <c r="H187" s="386">
        <v>0</v>
      </c>
      <c r="I187" s="387" t="s">
        <v>86</v>
      </c>
      <c r="J187" s="364">
        <v>7</v>
      </c>
      <c r="K187" s="388">
        <f t="shared" si="167"/>
        <v>2018</v>
      </c>
      <c r="L187" s="21">
        <f t="shared" si="165"/>
        <v>2018.4166666666667</v>
      </c>
      <c r="M187" s="365">
        <f>32650.3/351*12</f>
        <v>1116.2495726495727</v>
      </c>
      <c r="N187" s="366">
        <f t="shared" si="168"/>
        <v>1116.2495726495727</v>
      </c>
      <c r="O187" s="366">
        <f t="shared" si="169"/>
        <v>13.288685388685389</v>
      </c>
      <c r="P187" s="19">
        <f t="shared" si="166"/>
        <v>159.46422466422467</v>
      </c>
      <c r="Q187" s="419">
        <f t="shared" si="161"/>
        <v>0</v>
      </c>
      <c r="R187" s="101"/>
      <c r="S187" s="390">
        <f t="shared" si="162"/>
        <v>1116.2495726495727</v>
      </c>
      <c r="T187" s="19">
        <f t="shared" si="163"/>
        <v>1116.2495726495727</v>
      </c>
      <c r="U187" s="19">
        <f t="shared" si="164"/>
        <v>0</v>
      </c>
    </row>
    <row r="188" spans="2:21">
      <c r="D188" s="15">
        <v>6</v>
      </c>
      <c r="E188" s="385" t="s">
        <v>170</v>
      </c>
      <c r="F188" s="15">
        <v>2011</v>
      </c>
      <c r="G188" s="364">
        <v>5</v>
      </c>
      <c r="H188" s="386">
        <v>0</v>
      </c>
      <c r="I188" s="387" t="s">
        <v>86</v>
      </c>
      <c r="J188" s="364">
        <v>10</v>
      </c>
      <c r="K188" s="388">
        <f t="shared" si="167"/>
        <v>2021</v>
      </c>
      <c r="L188" s="21">
        <f t="shared" si="165"/>
        <v>2021.4166666666667</v>
      </c>
      <c r="M188" s="365">
        <v>2610</v>
      </c>
      <c r="N188" s="366">
        <f t="shared" si="168"/>
        <v>2610</v>
      </c>
      <c r="O188" s="366">
        <f t="shared" si="169"/>
        <v>21.75</v>
      </c>
      <c r="P188" s="19">
        <f t="shared" si="166"/>
        <v>261</v>
      </c>
      <c r="Q188" s="419">
        <f t="shared" si="161"/>
        <v>0</v>
      </c>
      <c r="R188" s="101"/>
      <c r="S188" s="390">
        <f t="shared" si="162"/>
        <v>2610</v>
      </c>
      <c r="T188" s="19">
        <f t="shared" si="163"/>
        <v>2610</v>
      </c>
      <c r="U188" s="19">
        <f t="shared" si="164"/>
        <v>0</v>
      </c>
    </row>
    <row r="189" spans="2:21">
      <c r="D189" s="15">
        <v>66</v>
      </c>
      <c r="E189" s="385" t="s">
        <v>171</v>
      </c>
      <c r="F189" s="15">
        <v>2011</v>
      </c>
      <c r="G189" s="364">
        <v>6</v>
      </c>
      <c r="H189" s="386">
        <v>0</v>
      </c>
      <c r="I189" s="387" t="s">
        <v>86</v>
      </c>
      <c r="J189" s="364">
        <v>10</v>
      </c>
      <c r="K189" s="388">
        <f t="shared" si="167"/>
        <v>2021</v>
      </c>
      <c r="L189" s="21">
        <f t="shared" si="165"/>
        <v>2021.5</v>
      </c>
      <c r="M189" s="365">
        <v>30588.26</v>
      </c>
      <c r="N189" s="366">
        <f t="shared" si="168"/>
        <v>30588.26</v>
      </c>
      <c r="O189" s="366">
        <f t="shared" si="169"/>
        <v>254.90216666666666</v>
      </c>
      <c r="P189" s="19">
        <f t="shared" si="166"/>
        <v>3058.826</v>
      </c>
      <c r="Q189" s="419">
        <f t="shared" si="161"/>
        <v>0</v>
      </c>
      <c r="R189" s="101"/>
      <c r="S189" s="390">
        <f t="shared" si="162"/>
        <v>30588.26</v>
      </c>
      <c r="T189" s="19">
        <f t="shared" si="163"/>
        <v>30588.26</v>
      </c>
      <c r="U189" s="19">
        <f t="shared" si="164"/>
        <v>0</v>
      </c>
    </row>
    <row r="190" spans="2:21">
      <c r="B190" s="15">
        <v>238069</v>
      </c>
      <c r="D190" s="15">
        <v>19</v>
      </c>
      <c r="E190" s="385" t="s">
        <v>571</v>
      </c>
      <c r="F190" s="15">
        <v>2011</v>
      </c>
      <c r="G190" s="364">
        <v>1</v>
      </c>
      <c r="H190" s="386">
        <v>0</v>
      </c>
      <c r="I190" s="387" t="s">
        <v>86</v>
      </c>
      <c r="J190" s="364">
        <v>3</v>
      </c>
      <c r="K190" s="388">
        <f>F190+J190</f>
        <v>2014</v>
      </c>
      <c r="L190" s="21">
        <f>+K190+(G190/12)</f>
        <v>2014.0833333333333</v>
      </c>
      <c r="M190" s="24">
        <v>0.03</v>
      </c>
      <c r="N190" s="19">
        <f>M190-M190*H190</f>
        <v>0.03</v>
      </c>
      <c r="O190" s="19">
        <f>N190/J190/12</f>
        <v>8.3333333333333339E-4</v>
      </c>
      <c r="P190" s="19">
        <f>+O190*12</f>
        <v>0.01</v>
      </c>
      <c r="Q190" s="419">
        <f t="shared" si="161"/>
        <v>0</v>
      </c>
      <c r="R190" s="101"/>
      <c r="S190" s="390">
        <f t="shared" si="162"/>
        <v>0.03</v>
      </c>
      <c r="T190" s="19">
        <f t="shared" si="163"/>
        <v>0.03</v>
      </c>
      <c r="U190" s="19">
        <f t="shared" si="164"/>
        <v>0</v>
      </c>
    </row>
    <row r="191" spans="2:21">
      <c r="B191" s="15">
        <v>93744</v>
      </c>
      <c r="D191" s="15">
        <v>23</v>
      </c>
      <c r="E191" s="385" t="s">
        <v>172</v>
      </c>
      <c r="F191" s="15">
        <v>2012</v>
      </c>
      <c r="G191" s="364">
        <v>4</v>
      </c>
      <c r="H191" s="386">
        <v>0</v>
      </c>
      <c r="I191" s="387" t="s">
        <v>86</v>
      </c>
      <c r="J191" s="364">
        <v>10</v>
      </c>
      <c r="K191" s="388">
        <f t="shared" si="167"/>
        <v>2022</v>
      </c>
      <c r="L191" s="21">
        <f t="shared" si="165"/>
        <v>2022.3333333333333</v>
      </c>
      <c r="M191" s="365">
        <v>10925</v>
      </c>
      <c r="N191" s="366">
        <f t="shared" si="168"/>
        <v>10925</v>
      </c>
      <c r="O191" s="366">
        <f t="shared" si="169"/>
        <v>91.041666666666671</v>
      </c>
      <c r="P191" s="19">
        <f t="shared" si="166"/>
        <v>1092.5</v>
      </c>
      <c r="Q191" s="419">
        <f t="shared" si="161"/>
        <v>0</v>
      </c>
      <c r="R191" s="101"/>
      <c r="S191" s="390">
        <f t="shared" si="162"/>
        <v>10925</v>
      </c>
      <c r="T191" s="19">
        <f t="shared" si="163"/>
        <v>10925</v>
      </c>
      <c r="U191" s="19">
        <f t="shared" si="164"/>
        <v>0</v>
      </c>
    </row>
    <row r="192" spans="2:21">
      <c r="B192" s="15">
        <v>103832</v>
      </c>
      <c r="D192" s="15">
        <v>23</v>
      </c>
      <c r="E192" s="385" t="s">
        <v>296</v>
      </c>
      <c r="F192" s="15">
        <v>2013</v>
      </c>
      <c r="G192" s="364">
        <v>4</v>
      </c>
      <c r="H192" s="386">
        <v>0</v>
      </c>
      <c r="I192" s="387" t="s">
        <v>86</v>
      </c>
      <c r="J192" s="364">
        <v>10</v>
      </c>
      <c r="K192" s="388">
        <f t="shared" si="167"/>
        <v>2023</v>
      </c>
      <c r="L192" s="21">
        <f t="shared" si="165"/>
        <v>2023.3333333333333</v>
      </c>
      <c r="M192" s="365">
        <v>10212</v>
      </c>
      <c r="N192" s="366">
        <f t="shared" si="168"/>
        <v>10212</v>
      </c>
      <c r="O192" s="366">
        <f t="shared" si="169"/>
        <v>85.100000000000009</v>
      </c>
      <c r="P192" s="19">
        <f t="shared" si="166"/>
        <v>1021.2</v>
      </c>
      <c r="Q192" s="419">
        <f t="shared" si="161"/>
        <v>0</v>
      </c>
      <c r="R192" s="101"/>
      <c r="S192" s="390">
        <f t="shared" si="162"/>
        <v>10126.900000000078</v>
      </c>
      <c r="T192" s="19">
        <f t="shared" si="163"/>
        <v>10212</v>
      </c>
      <c r="U192" s="19">
        <f t="shared" si="164"/>
        <v>0</v>
      </c>
    </row>
    <row r="193" spans="2:21">
      <c r="B193" s="15">
        <v>107424</v>
      </c>
      <c r="D193" s="15">
        <v>10</v>
      </c>
      <c r="E193" s="385" t="s">
        <v>299</v>
      </c>
      <c r="F193" s="15">
        <v>2013</v>
      </c>
      <c r="G193" s="364">
        <v>9</v>
      </c>
      <c r="H193" s="386">
        <v>0</v>
      </c>
      <c r="I193" s="387" t="s">
        <v>86</v>
      </c>
      <c r="J193" s="364">
        <v>10</v>
      </c>
      <c r="K193" s="388">
        <f t="shared" si="167"/>
        <v>2023</v>
      </c>
      <c r="L193" s="21">
        <f t="shared" si="165"/>
        <v>2023.75</v>
      </c>
      <c r="M193" s="365">
        <v>4100</v>
      </c>
      <c r="N193" s="366">
        <f t="shared" si="168"/>
        <v>4100</v>
      </c>
      <c r="O193" s="366">
        <f t="shared" si="169"/>
        <v>34.166666666666664</v>
      </c>
      <c r="P193" s="19">
        <f t="shared" si="166"/>
        <v>410</v>
      </c>
      <c r="Q193" s="419">
        <f t="shared" si="161"/>
        <v>0</v>
      </c>
      <c r="R193" s="101"/>
      <c r="S193" s="390">
        <f t="shared" si="162"/>
        <v>3895</v>
      </c>
      <c r="T193" s="19">
        <f t="shared" si="163"/>
        <v>4100</v>
      </c>
      <c r="U193" s="19">
        <f t="shared" si="164"/>
        <v>0</v>
      </c>
    </row>
    <row r="194" spans="2:21">
      <c r="B194" s="15">
        <v>115364</v>
      </c>
      <c r="D194" s="15">
        <v>25</v>
      </c>
      <c r="E194" s="385" t="s">
        <v>315</v>
      </c>
      <c r="F194" s="15">
        <v>2014</v>
      </c>
      <c r="G194" s="364">
        <v>8</v>
      </c>
      <c r="H194" s="386">
        <v>0</v>
      </c>
      <c r="I194" s="387" t="s">
        <v>86</v>
      </c>
      <c r="J194" s="364">
        <v>10</v>
      </c>
      <c r="K194" s="388">
        <f t="shared" si="167"/>
        <v>2024</v>
      </c>
      <c r="L194" s="21">
        <f t="shared" si="165"/>
        <v>2024.6666666666667</v>
      </c>
      <c r="M194" s="365">
        <v>11750</v>
      </c>
      <c r="N194" s="366">
        <f t="shared" si="168"/>
        <v>11750</v>
      </c>
      <c r="O194" s="366">
        <f t="shared" si="169"/>
        <v>97.916666666666671</v>
      </c>
      <c r="P194" s="19">
        <f t="shared" si="166"/>
        <v>1175</v>
      </c>
      <c r="Q194" s="419">
        <f t="shared" si="161"/>
        <v>1175</v>
      </c>
      <c r="R194" s="101"/>
      <c r="S194" s="390">
        <f t="shared" si="162"/>
        <v>10085.416666666577</v>
      </c>
      <c r="T194" s="19">
        <f t="shared" si="163"/>
        <v>11260.416666666577</v>
      </c>
      <c r="U194" s="19">
        <f t="shared" si="164"/>
        <v>489.58333333342307</v>
      </c>
    </row>
    <row r="195" spans="2:21">
      <c r="B195" s="15">
        <v>115252</v>
      </c>
      <c r="D195" s="15">
        <v>18</v>
      </c>
      <c r="E195" s="385" t="s">
        <v>315</v>
      </c>
      <c r="F195" s="15">
        <v>2014</v>
      </c>
      <c r="G195" s="364">
        <v>8</v>
      </c>
      <c r="H195" s="386">
        <v>0</v>
      </c>
      <c r="I195" s="387" t="s">
        <v>86</v>
      </c>
      <c r="J195" s="364">
        <v>10</v>
      </c>
      <c r="K195" s="388">
        <f t="shared" si="167"/>
        <v>2024</v>
      </c>
      <c r="L195" s="21">
        <f t="shared" si="165"/>
        <v>2024.6666666666667</v>
      </c>
      <c r="M195" s="365">
        <v>8460</v>
      </c>
      <c r="N195" s="366">
        <f t="shared" si="168"/>
        <v>8460</v>
      </c>
      <c r="O195" s="366">
        <f t="shared" si="169"/>
        <v>70.5</v>
      </c>
      <c r="P195" s="19">
        <f t="shared" si="166"/>
        <v>846</v>
      </c>
      <c r="Q195" s="419">
        <f t="shared" si="161"/>
        <v>846</v>
      </c>
      <c r="R195" s="101"/>
      <c r="S195" s="390">
        <f t="shared" si="162"/>
        <v>7261.4999999999363</v>
      </c>
      <c r="T195" s="19">
        <f t="shared" si="163"/>
        <v>8107.4999999999363</v>
      </c>
      <c r="U195" s="19">
        <f t="shared" si="164"/>
        <v>352.50000000006366</v>
      </c>
    </row>
    <row r="196" spans="2:21">
      <c r="B196" s="15">
        <v>115251</v>
      </c>
      <c r="D196" s="15">
        <v>35</v>
      </c>
      <c r="E196" s="385" t="s">
        <v>314</v>
      </c>
      <c r="F196" s="15">
        <v>2014</v>
      </c>
      <c r="G196" s="364">
        <v>8</v>
      </c>
      <c r="H196" s="386">
        <v>0</v>
      </c>
      <c r="I196" s="387" t="s">
        <v>86</v>
      </c>
      <c r="J196" s="364">
        <v>10</v>
      </c>
      <c r="K196" s="388">
        <f t="shared" si="167"/>
        <v>2024</v>
      </c>
      <c r="L196" s="21">
        <f t="shared" si="165"/>
        <v>2024.6666666666667</v>
      </c>
      <c r="M196" s="365">
        <v>15400</v>
      </c>
      <c r="N196" s="366">
        <f t="shared" si="168"/>
        <v>15400</v>
      </c>
      <c r="O196" s="366">
        <f t="shared" si="169"/>
        <v>128.33333333333334</v>
      </c>
      <c r="P196" s="19">
        <f t="shared" si="166"/>
        <v>1540</v>
      </c>
      <c r="Q196" s="419">
        <f t="shared" si="161"/>
        <v>1540</v>
      </c>
      <c r="R196" s="101"/>
      <c r="S196" s="390">
        <f t="shared" si="162"/>
        <v>13218.333333333216</v>
      </c>
      <c r="T196" s="19">
        <f t="shared" si="163"/>
        <v>14758.333333333216</v>
      </c>
      <c r="U196" s="19">
        <f t="shared" si="164"/>
        <v>641.66666666678429</v>
      </c>
    </row>
    <row r="197" spans="2:21">
      <c r="B197" s="15">
        <v>124067</v>
      </c>
      <c r="D197" s="15">
        <v>25</v>
      </c>
      <c r="E197" s="385" t="s">
        <v>314</v>
      </c>
      <c r="F197" s="15">
        <v>2015</v>
      </c>
      <c r="G197" s="364">
        <v>7</v>
      </c>
      <c r="H197" s="386">
        <v>0</v>
      </c>
      <c r="I197" s="387" t="s">
        <v>86</v>
      </c>
      <c r="J197" s="364">
        <v>10</v>
      </c>
      <c r="K197" s="388">
        <f t="shared" si="167"/>
        <v>2025</v>
      </c>
      <c r="L197" s="21">
        <f t="shared" si="165"/>
        <v>2025.5833333333333</v>
      </c>
      <c r="M197" s="365">
        <v>10875</v>
      </c>
      <c r="N197" s="366">
        <f t="shared" si="168"/>
        <v>10875</v>
      </c>
      <c r="O197" s="366">
        <f t="shared" si="169"/>
        <v>90.625</v>
      </c>
      <c r="P197" s="19">
        <f t="shared" si="166"/>
        <v>1087.5</v>
      </c>
      <c r="Q197" s="419">
        <f t="shared" si="161"/>
        <v>1087.5</v>
      </c>
      <c r="R197" s="101"/>
      <c r="S197" s="390">
        <f t="shared" si="162"/>
        <v>8337.5000000000819</v>
      </c>
      <c r="T197" s="19">
        <f t="shared" si="163"/>
        <v>9425.0000000000819</v>
      </c>
      <c r="U197" s="19">
        <f t="shared" si="164"/>
        <v>1449.9999999999181</v>
      </c>
    </row>
    <row r="198" spans="2:21">
      <c r="B198" s="15">
        <v>124068</v>
      </c>
      <c r="D198" s="15">
        <v>44</v>
      </c>
      <c r="E198" s="385" t="s">
        <v>315</v>
      </c>
      <c r="F198" s="15">
        <v>2015</v>
      </c>
      <c r="G198" s="364">
        <v>7</v>
      </c>
      <c r="H198" s="386">
        <v>0</v>
      </c>
      <c r="I198" s="387" t="s">
        <v>86</v>
      </c>
      <c r="J198" s="364">
        <v>10</v>
      </c>
      <c r="K198" s="388">
        <f t="shared" si="167"/>
        <v>2025</v>
      </c>
      <c r="L198" s="21">
        <f t="shared" si="165"/>
        <v>2025.5833333333333</v>
      </c>
      <c r="M198" s="365">
        <v>20328</v>
      </c>
      <c r="N198" s="366">
        <f t="shared" si="168"/>
        <v>20328</v>
      </c>
      <c r="O198" s="366">
        <f t="shared" si="169"/>
        <v>169.4</v>
      </c>
      <c r="P198" s="19">
        <f t="shared" si="166"/>
        <v>2032.8000000000002</v>
      </c>
      <c r="Q198" s="419">
        <f t="shared" si="161"/>
        <v>2032.8000000000002</v>
      </c>
      <c r="R198" s="101"/>
      <c r="S198" s="390">
        <f t="shared" si="162"/>
        <v>15584.800000000154</v>
      </c>
      <c r="T198" s="19">
        <f t="shared" si="163"/>
        <v>17617.600000000155</v>
      </c>
      <c r="U198" s="19">
        <f t="shared" si="164"/>
        <v>2710.399999999845</v>
      </c>
    </row>
    <row r="199" spans="2:21">
      <c r="B199" s="15" t="s">
        <v>341</v>
      </c>
      <c r="D199" s="15">
        <f>45</f>
        <v>45</v>
      </c>
      <c r="E199" s="385" t="s">
        <v>315</v>
      </c>
      <c r="F199" s="15">
        <v>2016</v>
      </c>
      <c r="G199" s="364">
        <v>2</v>
      </c>
      <c r="H199" s="386">
        <v>0</v>
      </c>
      <c r="I199" s="387" t="s">
        <v>86</v>
      </c>
      <c r="J199" s="364">
        <v>10</v>
      </c>
      <c r="K199" s="388">
        <f t="shared" si="167"/>
        <v>2026</v>
      </c>
      <c r="L199" s="21">
        <f t="shared" si="165"/>
        <v>2026.1666666666667</v>
      </c>
      <c r="M199" s="365">
        <f>20900+520</f>
        <v>21420</v>
      </c>
      <c r="N199" s="366">
        <f t="shared" si="168"/>
        <v>21420</v>
      </c>
      <c r="O199" s="366">
        <f t="shared" si="169"/>
        <v>178.5</v>
      </c>
      <c r="P199" s="19">
        <f t="shared" si="166"/>
        <v>2142</v>
      </c>
      <c r="Q199" s="419">
        <f t="shared" si="161"/>
        <v>2142</v>
      </c>
      <c r="R199" s="101"/>
      <c r="S199" s="390">
        <f t="shared" si="162"/>
        <v>15172.499999999838</v>
      </c>
      <c r="T199" s="19">
        <f t="shared" si="163"/>
        <v>17314.49999999984</v>
      </c>
      <c r="U199" s="19">
        <f t="shared" si="164"/>
        <v>4105.5000000001601</v>
      </c>
    </row>
    <row r="200" spans="2:21">
      <c r="B200" s="15" t="s">
        <v>342</v>
      </c>
      <c r="D200" s="15">
        <f>30</f>
        <v>30</v>
      </c>
      <c r="E200" s="385" t="s">
        <v>314</v>
      </c>
      <c r="F200" s="15">
        <v>2016</v>
      </c>
      <c r="G200" s="364">
        <v>2</v>
      </c>
      <c r="H200" s="386">
        <v>0</v>
      </c>
      <c r="I200" s="387" t="s">
        <v>86</v>
      </c>
      <c r="J200" s="364">
        <v>10</v>
      </c>
      <c r="K200" s="388">
        <f t="shared" si="167"/>
        <v>2026</v>
      </c>
      <c r="L200" s="21">
        <f t="shared" si="165"/>
        <v>2026.1666666666667</v>
      </c>
      <c r="M200" s="365">
        <f>11000+2200</f>
        <v>13200</v>
      </c>
      <c r="N200" s="366">
        <f t="shared" si="168"/>
        <v>13200</v>
      </c>
      <c r="O200" s="366">
        <f t="shared" si="169"/>
        <v>110</v>
      </c>
      <c r="P200" s="19">
        <f t="shared" si="166"/>
        <v>1320</v>
      </c>
      <c r="Q200" s="419">
        <f t="shared" si="161"/>
        <v>1320</v>
      </c>
      <c r="R200" s="101"/>
      <c r="S200" s="390">
        <f t="shared" si="162"/>
        <v>9349.9999999999</v>
      </c>
      <c r="T200" s="19">
        <f t="shared" si="163"/>
        <v>10669.9999999999</v>
      </c>
      <c r="U200" s="19">
        <f t="shared" si="164"/>
        <v>2530.0000000001</v>
      </c>
    </row>
    <row r="201" spans="2:21">
      <c r="B201" s="15">
        <v>131775</v>
      </c>
      <c r="D201" s="15">
        <v>5</v>
      </c>
      <c r="E201" s="385" t="s">
        <v>343</v>
      </c>
      <c r="F201" s="15">
        <v>2016</v>
      </c>
      <c r="G201" s="364">
        <v>2</v>
      </c>
      <c r="H201" s="386">
        <v>0</v>
      </c>
      <c r="I201" s="387" t="s">
        <v>86</v>
      </c>
      <c r="J201" s="364">
        <v>10</v>
      </c>
      <c r="K201" s="388">
        <f t="shared" si="167"/>
        <v>2026</v>
      </c>
      <c r="L201" s="21">
        <f t="shared" si="165"/>
        <v>2026.1666666666667</v>
      </c>
      <c r="M201" s="365">
        <v>2025</v>
      </c>
      <c r="N201" s="366">
        <f t="shared" si="168"/>
        <v>2025</v>
      </c>
      <c r="O201" s="366">
        <f t="shared" si="169"/>
        <v>16.875</v>
      </c>
      <c r="P201" s="19">
        <f t="shared" si="166"/>
        <v>202.5</v>
      </c>
      <c r="Q201" s="419">
        <f t="shared" si="161"/>
        <v>202.5</v>
      </c>
      <c r="R201" s="101"/>
      <c r="S201" s="390">
        <f t="shared" si="162"/>
        <v>1434.3749999999845</v>
      </c>
      <c r="T201" s="19">
        <f t="shared" si="163"/>
        <v>1636.8749999999845</v>
      </c>
      <c r="U201" s="19">
        <f t="shared" si="164"/>
        <v>388.12500000001546</v>
      </c>
    </row>
    <row r="202" spans="2:21">
      <c r="B202" s="15">
        <v>177913</v>
      </c>
      <c r="D202" s="15">
        <v>40</v>
      </c>
      <c r="E202" s="385" t="s">
        <v>381</v>
      </c>
      <c r="F202" s="15">
        <v>2017</v>
      </c>
      <c r="G202" s="364">
        <v>3</v>
      </c>
      <c r="H202" s="386">
        <v>0</v>
      </c>
      <c r="I202" s="387" t="s">
        <v>86</v>
      </c>
      <c r="J202" s="364">
        <v>12</v>
      </c>
      <c r="K202" s="388">
        <f t="shared" si="167"/>
        <v>2029</v>
      </c>
      <c r="L202" s="21">
        <f t="shared" si="165"/>
        <v>2029.25</v>
      </c>
      <c r="M202" s="365">
        <v>19880</v>
      </c>
      <c r="N202" s="366">
        <f t="shared" si="168"/>
        <v>19880</v>
      </c>
      <c r="O202" s="366">
        <f t="shared" si="169"/>
        <v>138.05555555555557</v>
      </c>
      <c r="P202" s="19">
        <f t="shared" si="166"/>
        <v>1656.666666666667</v>
      </c>
      <c r="Q202" s="419">
        <f t="shared" si="161"/>
        <v>1656.666666666667</v>
      </c>
      <c r="R202" s="101"/>
      <c r="S202" s="390">
        <f t="shared" si="162"/>
        <v>9939.9999999999982</v>
      </c>
      <c r="T202" s="19">
        <f t="shared" si="163"/>
        <v>11596.666666666664</v>
      </c>
      <c r="U202" s="19">
        <f t="shared" si="164"/>
        <v>8283.3333333333358</v>
      </c>
    </row>
    <row r="203" spans="2:21">
      <c r="B203" s="15">
        <v>177912</v>
      </c>
      <c r="D203" s="15">
        <v>5</v>
      </c>
      <c r="E203" s="385" t="s">
        <v>382</v>
      </c>
      <c r="F203" s="15">
        <v>2017</v>
      </c>
      <c r="G203" s="364">
        <v>3</v>
      </c>
      <c r="H203" s="386">
        <v>0</v>
      </c>
      <c r="I203" s="387" t="s">
        <v>86</v>
      </c>
      <c r="J203" s="364">
        <v>12</v>
      </c>
      <c r="K203" s="388">
        <f t="shared" si="167"/>
        <v>2029</v>
      </c>
      <c r="L203" s="21">
        <f t="shared" si="165"/>
        <v>2029.25</v>
      </c>
      <c r="M203" s="365">
        <v>2240</v>
      </c>
      <c r="N203" s="366">
        <f t="shared" si="168"/>
        <v>2240</v>
      </c>
      <c r="O203" s="366">
        <f t="shared" si="169"/>
        <v>15.555555555555555</v>
      </c>
      <c r="P203" s="19">
        <f t="shared" si="166"/>
        <v>186.66666666666666</v>
      </c>
      <c r="Q203" s="419">
        <f t="shared" si="161"/>
        <v>186.66666666666666</v>
      </c>
      <c r="R203" s="101"/>
      <c r="S203" s="390">
        <f t="shared" si="162"/>
        <v>1120</v>
      </c>
      <c r="T203" s="19">
        <f t="shared" si="163"/>
        <v>1306.6666666666667</v>
      </c>
      <c r="U203" s="19">
        <f t="shared" si="164"/>
        <v>933.33333333333326</v>
      </c>
    </row>
    <row r="204" spans="2:21">
      <c r="B204" s="15">
        <v>177911</v>
      </c>
      <c r="D204" s="15">
        <v>36</v>
      </c>
      <c r="E204" s="385" t="s">
        <v>383</v>
      </c>
      <c r="F204" s="15">
        <v>2017</v>
      </c>
      <c r="G204" s="364">
        <v>3</v>
      </c>
      <c r="H204" s="386">
        <v>0</v>
      </c>
      <c r="I204" s="387" t="s">
        <v>86</v>
      </c>
      <c r="J204" s="364">
        <v>12</v>
      </c>
      <c r="K204" s="388">
        <f t="shared" si="167"/>
        <v>2029</v>
      </c>
      <c r="L204" s="21">
        <f t="shared" si="165"/>
        <v>2029.25</v>
      </c>
      <c r="M204" s="365">
        <v>16560</v>
      </c>
      <c r="N204" s="366">
        <f t="shared" si="168"/>
        <v>16560</v>
      </c>
      <c r="O204" s="366">
        <f t="shared" si="169"/>
        <v>115</v>
      </c>
      <c r="P204" s="19">
        <f t="shared" si="166"/>
        <v>1380</v>
      </c>
      <c r="Q204" s="419">
        <f t="shared" si="161"/>
        <v>1380</v>
      </c>
      <c r="R204" s="101"/>
      <c r="S204" s="390">
        <f t="shared" si="162"/>
        <v>8280</v>
      </c>
      <c r="T204" s="19">
        <f t="shared" si="163"/>
        <v>9660</v>
      </c>
      <c r="U204" s="19">
        <f t="shared" si="164"/>
        <v>6900</v>
      </c>
    </row>
    <row r="205" spans="2:21">
      <c r="B205" s="15">
        <v>194615</v>
      </c>
      <c r="D205" s="15">
        <v>12</v>
      </c>
      <c r="E205" s="385" t="s">
        <v>467</v>
      </c>
      <c r="F205" s="15">
        <v>2018</v>
      </c>
      <c r="G205" s="364">
        <v>1</v>
      </c>
      <c r="H205" s="386">
        <v>0</v>
      </c>
      <c r="I205" s="387" t="s">
        <v>86</v>
      </c>
      <c r="J205" s="364">
        <v>12</v>
      </c>
      <c r="K205" s="388">
        <f t="shared" ref="K205:K211" si="170">F205+J205</f>
        <v>2030</v>
      </c>
      <c r="L205" s="21">
        <f t="shared" ref="L205:L211" si="171">+K205+(G205/12)</f>
        <v>2030.0833333333333</v>
      </c>
      <c r="M205" s="24">
        <v>6480</v>
      </c>
      <c r="N205" s="19">
        <f t="shared" ref="N205:N211" si="172">M205-M205*H205</f>
        <v>6480</v>
      </c>
      <c r="O205" s="19">
        <f t="shared" ref="O205:O211" si="173">N205/J205/12</f>
        <v>45</v>
      </c>
      <c r="P205" s="19">
        <f t="shared" ref="P205:P211" si="174">+O205*12</f>
        <v>540</v>
      </c>
      <c r="Q205" s="419">
        <f t="shared" si="161"/>
        <v>540</v>
      </c>
      <c r="R205" s="101"/>
      <c r="S205" s="390">
        <f t="shared" si="162"/>
        <v>2790.0000000000409</v>
      </c>
      <c r="T205" s="19">
        <f t="shared" si="163"/>
        <v>3330.0000000000409</v>
      </c>
      <c r="U205" s="19">
        <f t="shared" si="164"/>
        <v>3149.9999999999591</v>
      </c>
    </row>
    <row r="206" spans="2:21">
      <c r="B206" s="15">
        <v>198004</v>
      </c>
      <c r="D206" s="15">
        <v>10</v>
      </c>
      <c r="E206" s="385" t="s">
        <v>468</v>
      </c>
      <c r="F206" s="15">
        <v>2018</v>
      </c>
      <c r="G206" s="364">
        <v>6</v>
      </c>
      <c r="H206" s="386">
        <v>0</v>
      </c>
      <c r="I206" s="387" t="s">
        <v>86</v>
      </c>
      <c r="J206" s="364">
        <v>0</v>
      </c>
      <c r="K206" s="388">
        <f t="shared" si="170"/>
        <v>2018</v>
      </c>
      <c r="L206" s="21">
        <f t="shared" si="171"/>
        <v>2018.5</v>
      </c>
      <c r="M206" s="24">
        <v>0</v>
      </c>
      <c r="N206" s="19">
        <f t="shared" si="172"/>
        <v>0</v>
      </c>
      <c r="O206" s="19">
        <f>IFERROR((N206/J206/12),0)</f>
        <v>0</v>
      </c>
      <c r="P206" s="19">
        <f t="shared" si="174"/>
        <v>0</v>
      </c>
      <c r="Q206" s="419">
        <f t="shared" si="161"/>
        <v>0</v>
      </c>
      <c r="R206" s="101"/>
      <c r="S206" s="390">
        <f t="shared" si="162"/>
        <v>0</v>
      </c>
      <c r="T206" s="19">
        <f t="shared" si="163"/>
        <v>0</v>
      </c>
      <c r="U206" s="19">
        <f t="shared" si="164"/>
        <v>0</v>
      </c>
    </row>
    <row r="207" spans="2:21">
      <c r="B207" s="15">
        <v>203953</v>
      </c>
      <c r="D207" s="15">
        <v>47</v>
      </c>
      <c r="E207" s="385" t="s">
        <v>469</v>
      </c>
      <c r="F207" s="15">
        <v>2018</v>
      </c>
      <c r="G207" s="364">
        <v>9</v>
      </c>
      <c r="H207" s="386">
        <v>0</v>
      </c>
      <c r="I207" s="387" t="s">
        <v>86</v>
      </c>
      <c r="J207" s="364">
        <v>12</v>
      </c>
      <c r="K207" s="388">
        <f t="shared" si="170"/>
        <v>2030</v>
      </c>
      <c r="L207" s="21">
        <f t="shared" si="171"/>
        <v>2030.75</v>
      </c>
      <c r="M207" s="24">
        <v>28494.5</v>
      </c>
      <c r="N207" s="19">
        <f t="shared" si="172"/>
        <v>28494.5</v>
      </c>
      <c r="O207" s="19">
        <f t="shared" si="173"/>
        <v>197.8784722222222</v>
      </c>
      <c r="P207" s="19">
        <f t="shared" si="174"/>
        <v>2374.5416666666665</v>
      </c>
      <c r="Q207" s="419">
        <f t="shared" si="161"/>
        <v>2374.5416666666665</v>
      </c>
      <c r="R207" s="101"/>
      <c r="S207" s="390">
        <f t="shared" si="162"/>
        <v>10685.437500000004</v>
      </c>
      <c r="T207" s="19">
        <f t="shared" si="163"/>
        <v>13059.97916666667</v>
      </c>
      <c r="U207" s="19">
        <f t="shared" si="164"/>
        <v>15434.52083333333</v>
      </c>
    </row>
    <row r="208" spans="2:21">
      <c r="B208" s="15">
        <v>204286</v>
      </c>
      <c r="D208" s="15">
        <v>28</v>
      </c>
      <c r="E208" s="385" t="s">
        <v>470</v>
      </c>
      <c r="F208" s="15">
        <v>2018</v>
      </c>
      <c r="G208" s="364">
        <v>9</v>
      </c>
      <c r="H208" s="386">
        <v>0</v>
      </c>
      <c r="I208" s="387" t="s">
        <v>86</v>
      </c>
      <c r="J208" s="364">
        <v>12</v>
      </c>
      <c r="K208" s="388">
        <f t="shared" si="170"/>
        <v>2030</v>
      </c>
      <c r="L208" s="21">
        <f t="shared" si="171"/>
        <v>2030.75</v>
      </c>
      <c r="M208" s="24">
        <v>15355.5</v>
      </c>
      <c r="N208" s="19">
        <f t="shared" si="172"/>
        <v>15355.5</v>
      </c>
      <c r="O208" s="19">
        <f t="shared" si="173"/>
        <v>106.63541666666667</v>
      </c>
      <c r="P208" s="19">
        <f t="shared" si="174"/>
        <v>1279.625</v>
      </c>
      <c r="Q208" s="419">
        <f t="shared" si="161"/>
        <v>1279.625</v>
      </c>
      <c r="R208" s="101"/>
      <c r="S208" s="390">
        <f t="shared" si="162"/>
        <v>5758.3125</v>
      </c>
      <c r="T208" s="19">
        <f t="shared" si="163"/>
        <v>7037.9375</v>
      </c>
      <c r="U208" s="19">
        <f t="shared" si="164"/>
        <v>8317.5625</v>
      </c>
    </row>
    <row r="209" spans="2:22">
      <c r="B209" s="15">
        <v>216318</v>
      </c>
      <c r="D209" s="15">
        <v>100</v>
      </c>
      <c r="E209" s="385" t="s">
        <v>530</v>
      </c>
      <c r="F209" s="15">
        <v>2019</v>
      </c>
      <c r="G209" s="364">
        <v>6</v>
      </c>
      <c r="H209" s="386">
        <v>0</v>
      </c>
      <c r="I209" s="387" t="s">
        <v>86</v>
      </c>
      <c r="J209" s="364">
        <v>12</v>
      </c>
      <c r="K209" s="388">
        <f t="shared" si="170"/>
        <v>2031</v>
      </c>
      <c r="L209" s="21">
        <f t="shared" si="171"/>
        <v>2031.5</v>
      </c>
      <c r="M209" s="24">
        <v>53171</v>
      </c>
      <c r="N209" s="19">
        <f t="shared" si="172"/>
        <v>53171</v>
      </c>
      <c r="O209" s="19">
        <f t="shared" si="173"/>
        <v>369.2430555555556</v>
      </c>
      <c r="P209" s="19">
        <f t="shared" si="174"/>
        <v>4430.916666666667</v>
      </c>
      <c r="Q209" s="419">
        <f t="shared" si="161"/>
        <v>4430.916666666667</v>
      </c>
      <c r="R209" s="101"/>
      <c r="S209" s="390">
        <f t="shared" si="162"/>
        <v>16615.937499999993</v>
      </c>
      <c r="T209" s="19">
        <f t="shared" si="163"/>
        <v>21046.854166666661</v>
      </c>
      <c r="U209" s="19">
        <f t="shared" si="164"/>
        <v>32124.145833333339</v>
      </c>
    </row>
    <row r="210" spans="2:22">
      <c r="B210" s="15">
        <v>216317</v>
      </c>
      <c r="D210" s="15">
        <v>75</v>
      </c>
      <c r="E210" s="385" t="s">
        <v>531</v>
      </c>
      <c r="F210" s="15">
        <v>2019</v>
      </c>
      <c r="G210" s="364">
        <v>6</v>
      </c>
      <c r="H210" s="386">
        <v>0</v>
      </c>
      <c r="I210" s="387" t="s">
        <v>86</v>
      </c>
      <c r="J210" s="364">
        <v>12</v>
      </c>
      <c r="K210" s="388">
        <f t="shared" si="170"/>
        <v>2031</v>
      </c>
      <c r="L210" s="21">
        <f t="shared" si="171"/>
        <v>2031.5</v>
      </c>
      <c r="M210" s="24">
        <v>37329</v>
      </c>
      <c r="N210" s="19">
        <f t="shared" si="172"/>
        <v>37329</v>
      </c>
      <c r="O210" s="19">
        <f t="shared" si="173"/>
        <v>259.22916666666669</v>
      </c>
      <c r="P210" s="19">
        <f t="shared" si="174"/>
        <v>3110.75</v>
      </c>
      <c r="Q210" s="419">
        <f t="shared" si="161"/>
        <v>3110.75</v>
      </c>
      <c r="R210" s="101"/>
      <c r="S210" s="390">
        <f t="shared" si="162"/>
        <v>11665.312499999996</v>
      </c>
      <c r="T210" s="19">
        <f t="shared" si="163"/>
        <v>14776.062499999996</v>
      </c>
      <c r="U210" s="19">
        <f t="shared" si="164"/>
        <v>22552.937500000004</v>
      </c>
    </row>
    <row r="211" spans="2:22">
      <c r="B211" s="15">
        <v>236069</v>
      </c>
      <c r="D211" s="15">
        <v>30</v>
      </c>
      <c r="E211" s="385" t="s">
        <v>551</v>
      </c>
      <c r="F211" s="15">
        <v>2020</v>
      </c>
      <c r="G211" s="364">
        <v>7</v>
      </c>
      <c r="H211" s="386">
        <v>0</v>
      </c>
      <c r="I211" s="387" t="s">
        <v>86</v>
      </c>
      <c r="J211" s="364">
        <v>12</v>
      </c>
      <c r="K211" s="388">
        <f t="shared" si="170"/>
        <v>2032</v>
      </c>
      <c r="L211" s="21">
        <f t="shared" si="171"/>
        <v>2032.5833333333333</v>
      </c>
      <c r="M211" s="24">
        <v>16950</v>
      </c>
      <c r="N211" s="19">
        <f t="shared" si="172"/>
        <v>16950</v>
      </c>
      <c r="O211" s="19">
        <f t="shared" si="173"/>
        <v>117.70833333333333</v>
      </c>
      <c r="P211" s="19">
        <f t="shared" si="174"/>
        <v>1412.5</v>
      </c>
      <c r="Q211" s="419">
        <f t="shared" si="161"/>
        <v>1412.5</v>
      </c>
      <c r="R211" s="101"/>
      <c r="S211" s="390">
        <f t="shared" si="162"/>
        <v>3766.6666666667734</v>
      </c>
      <c r="T211" s="19">
        <f t="shared" si="163"/>
        <v>5179.1666666667734</v>
      </c>
      <c r="U211" s="19">
        <f t="shared" si="164"/>
        <v>11770.833333333227</v>
      </c>
    </row>
    <row r="212" spans="2:22">
      <c r="E212" s="385"/>
      <c r="H212" s="386"/>
      <c r="I212" s="387"/>
      <c r="K212" s="388"/>
      <c r="L212" s="21"/>
      <c r="N212" s="366"/>
      <c r="O212" s="366"/>
      <c r="P212" s="19"/>
      <c r="Q212" s="19"/>
      <c r="R212" s="366"/>
      <c r="S212" s="366"/>
      <c r="T212" s="366"/>
      <c r="U212" s="366"/>
    </row>
    <row r="213" spans="2:22" s="16" customFormat="1">
      <c r="E213" s="406" t="s">
        <v>173</v>
      </c>
      <c r="F213" s="406"/>
      <c r="G213" s="405"/>
      <c r="H213" s="405"/>
      <c r="I213" s="404"/>
      <c r="J213" s="405"/>
      <c r="K213" s="403"/>
      <c r="L213" s="54"/>
      <c r="M213" s="424">
        <f t="shared" ref="M213:U213" si="175">SUM(M158:M212)</f>
        <v>623992.17957264965</v>
      </c>
      <c r="N213" s="424">
        <f t="shared" si="175"/>
        <v>623992.17957264965</v>
      </c>
      <c r="O213" s="424">
        <f t="shared" si="175"/>
        <v>5036.1252409442413</v>
      </c>
      <c r="P213" s="424">
        <f t="shared" si="175"/>
        <v>60433.502891330878</v>
      </c>
      <c r="Q213" s="424">
        <f t="shared" si="175"/>
        <v>26717.466666666667</v>
      </c>
      <c r="R213" s="424">
        <f t="shared" si="175"/>
        <v>0</v>
      </c>
      <c r="S213" s="424">
        <f t="shared" si="175"/>
        <v>474850.17123931623</v>
      </c>
      <c r="T213" s="424">
        <f t="shared" si="175"/>
        <v>501857.73790598288</v>
      </c>
      <c r="U213" s="424">
        <f t="shared" si="175"/>
        <v>122134.44166666684</v>
      </c>
      <c r="V213" s="407"/>
    </row>
    <row r="214" spans="2:22" s="16" customFormat="1">
      <c r="G214" s="22"/>
      <c r="H214" s="22"/>
      <c r="I214" s="409"/>
      <c r="J214" s="22"/>
      <c r="K214" s="408"/>
      <c r="L214" s="21"/>
      <c r="M214" s="401"/>
      <c r="N214" s="401"/>
      <c r="O214" s="401"/>
      <c r="P214" s="28"/>
      <c r="Q214" s="28"/>
      <c r="R214" s="401"/>
      <c r="S214" s="401"/>
      <c r="T214" s="401"/>
      <c r="U214" s="401"/>
      <c r="V214" s="407"/>
    </row>
    <row r="215" spans="2:22">
      <c r="I215" s="387"/>
      <c r="K215" s="388"/>
      <c r="L215" s="21"/>
      <c r="N215" s="366"/>
      <c r="O215" s="366"/>
      <c r="P215" s="19"/>
      <c r="Q215" s="19"/>
      <c r="R215" s="366"/>
      <c r="S215" s="19"/>
      <c r="T215" s="19"/>
      <c r="U215" s="19"/>
    </row>
    <row r="216" spans="2:22">
      <c r="E216" s="427" t="s">
        <v>174</v>
      </c>
      <c r="I216" s="387"/>
      <c r="K216" s="388"/>
      <c r="L216" s="21"/>
      <c r="M216" s="20"/>
      <c r="N216" s="19"/>
      <c r="O216" s="19"/>
      <c r="P216" s="19"/>
      <c r="Q216" s="19"/>
      <c r="R216" s="19"/>
      <c r="S216" s="19"/>
      <c r="T216" s="19"/>
      <c r="U216" s="19"/>
    </row>
    <row r="217" spans="2:22">
      <c r="D217" s="15">
        <v>3</v>
      </c>
      <c r="E217" s="428" t="s">
        <v>179</v>
      </c>
      <c r="F217" s="15">
        <v>2000</v>
      </c>
      <c r="G217" s="364">
        <v>6</v>
      </c>
      <c r="H217" s="386">
        <v>0</v>
      </c>
      <c r="I217" s="387" t="s">
        <v>86</v>
      </c>
      <c r="J217" s="364">
        <v>10</v>
      </c>
      <c r="K217" s="388">
        <f t="shared" ref="K217:K257" si="176">F217+J217</f>
        <v>2010</v>
      </c>
      <c r="L217" s="21">
        <f t="shared" si="165"/>
        <v>2010.5</v>
      </c>
      <c r="M217" s="24">
        <v>9584</v>
      </c>
      <c r="N217" s="19">
        <f t="shared" ref="N217:N257" si="177">M217-M217*H217</f>
        <v>9584</v>
      </c>
      <c r="O217" s="19">
        <f t="shared" ref="O217:O257" si="178">N217/J217/12</f>
        <v>79.86666666666666</v>
      </c>
      <c r="P217" s="19">
        <f t="shared" ref="P217:P257" si="179">+O217*12</f>
        <v>958.39999999999986</v>
      </c>
      <c r="Q217" s="419">
        <f t="shared" ref="Q217:Q272" si="180">+IF(L217&gt;$N$6,P217,0)</f>
        <v>0</v>
      </c>
      <c r="R217" s="101"/>
      <c r="S217" s="390">
        <f t="shared" ref="S217:S272" si="181">+IF($L217&lt;=$N$7,$M217,IF(($F217+($G217/12))&gt;=$N$7,0,((($N217-((($L217-$N$7)*12)*$O217))))))</f>
        <v>9584</v>
      </c>
      <c r="T217" s="19">
        <f t="shared" ref="T217:T272" si="182">IF(L217&lt;=$N$6,M217,Q217+S217)</f>
        <v>9584</v>
      </c>
      <c r="U217" s="19">
        <f t="shared" ref="U217:U272" si="183">+M217-T217</f>
        <v>0</v>
      </c>
    </row>
    <row r="218" spans="2:22">
      <c r="D218" s="15">
        <v>3</v>
      </c>
      <c r="E218" s="428" t="s">
        <v>179</v>
      </c>
      <c r="F218" s="15">
        <v>2002</v>
      </c>
      <c r="G218" s="364">
        <v>12</v>
      </c>
      <c r="H218" s="386">
        <v>0</v>
      </c>
      <c r="I218" s="387" t="s">
        <v>86</v>
      </c>
      <c r="J218" s="364">
        <v>10</v>
      </c>
      <c r="K218" s="388">
        <f t="shared" si="176"/>
        <v>2012</v>
      </c>
      <c r="L218" s="21">
        <f t="shared" si="165"/>
        <v>2013</v>
      </c>
      <c r="M218" s="24">
        <v>7624</v>
      </c>
      <c r="N218" s="19">
        <f t="shared" si="177"/>
        <v>7624</v>
      </c>
      <c r="O218" s="19">
        <f t="shared" si="178"/>
        <v>63.533333333333331</v>
      </c>
      <c r="P218" s="19">
        <f t="shared" si="179"/>
        <v>762.4</v>
      </c>
      <c r="Q218" s="419">
        <f t="shared" si="180"/>
        <v>0</v>
      </c>
      <c r="R218" s="101"/>
      <c r="S218" s="390">
        <f t="shared" si="181"/>
        <v>7624</v>
      </c>
      <c r="T218" s="19">
        <f t="shared" si="182"/>
        <v>7624</v>
      </c>
      <c r="U218" s="19">
        <f t="shared" si="183"/>
        <v>0</v>
      </c>
    </row>
    <row r="219" spans="2:22">
      <c r="D219" s="15">
        <v>3</v>
      </c>
      <c r="E219" s="428" t="s">
        <v>179</v>
      </c>
      <c r="F219" s="15">
        <v>2002</v>
      </c>
      <c r="G219" s="364">
        <v>12</v>
      </c>
      <c r="H219" s="386">
        <v>0</v>
      </c>
      <c r="I219" s="387" t="s">
        <v>86</v>
      </c>
      <c r="J219" s="364">
        <v>10</v>
      </c>
      <c r="K219" s="388">
        <f t="shared" si="176"/>
        <v>2012</v>
      </c>
      <c r="L219" s="21">
        <f t="shared" si="165"/>
        <v>2013</v>
      </c>
      <c r="M219" s="24">
        <v>8598</v>
      </c>
      <c r="N219" s="19">
        <f t="shared" si="177"/>
        <v>8598</v>
      </c>
      <c r="O219" s="19">
        <f t="shared" si="178"/>
        <v>71.649999999999991</v>
      </c>
      <c r="P219" s="19">
        <f t="shared" si="179"/>
        <v>859.8</v>
      </c>
      <c r="Q219" s="419">
        <f t="shared" si="180"/>
        <v>0</v>
      </c>
      <c r="R219" s="101"/>
      <c r="S219" s="390">
        <f t="shared" si="181"/>
        <v>8598</v>
      </c>
      <c r="T219" s="19">
        <f t="shared" si="182"/>
        <v>8598</v>
      </c>
      <c r="U219" s="19">
        <f t="shared" si="183"/>
        <v>0</v>
      </c>
    </row>
    <row r="220" spans="2:22">
      <c r="D220" s="15">
        <v>1</v>
      </c>
      <c r="E220" s="428" t="s">
        <v>180</v>
      </c>
      <c r="F220" s="15">
        <v>2002</v>
      </c>
      <c r="G220" s="364">
        <v>12</v>
      </c>
      <c r="H220" s="386">
        <v>0</v>
      </c>
      <c r="I220" s="387" t="s">
        <v>86</v>
      </c>
      <c r="J220" s="364">
        <v>10</v>
      </c>
      <c r="K220" s="388">
        <f t="shared" si="176"/>
        <v>2012</v>
      </c>
      <c r="L220" s="21">
        <f t="shared" si="165"/>
        <v>2013</v>
      </c>
      <c r="M220" s="24">
        <v>4409</v>
      </c>
      <c r="N220" s="19">
        <f t="shared" si="177"/>
        <v>4409</v>
      </c>
      <c r="O220" s="19">
        <f t="shared" si="178"/>
        <v>36.741666666666667</v>
      </c>
      <c r="P220" s="19">
        <f t="shared" si="179"/>
        <v>440.9</v>
      </c>
      <c r="Q220" s="419">
        <f t="shared" si="180"/>
        <v>0</v>
      </c>
      <c r="R220" s="101"/>
      <c r="S220" s="390">
        <f t="shared" si="181"/>
        <v>4409</v>
      </c>
      <c r="T220" s="19">
        <f t="shared" si="182"/>
        <v>4409</v>
      </c>
      <c r="U220" s="19">
        <f t="shared" si="183"/>
        <v>0</v>
      </c>
    </row>
    <row r="221" spans="2:22">
      <c r="D221" s="15">
        <v>5</v>
      </c>
      <c r="E221" s="428" t="s">
        <v>182</v>
      </c>
      <c r="F221" s="15">
        <v>2002</v>
      </c>
      <c r="G221" s="364">
        <v>12</v>
      </c>
      <c r="H221" s="386">
        <v>0</v>
      </c>
      <c r="I221" s="387" t="s">
        <v>86</v>
      </c>
      <c r="J221" s="364">
        <v>10</v>
      </c>
      <c r="K221" s="388">
        <f t="shared" si="176"/>
        <v>2012</v>
      </c>
      <c r="L221" s="21">
        <f t="shared" si="165"/>
        <v>2013</v>
      </c>
      <c r="M221" s="24">
        <f>16328/2</f>
        <v>8164</v>
      </c>
      <c r="N221" s="19">
        <f t="shared" si="177"/>
        <v>8164</v>
      </c>
      <c r="O221" s="19">
        <f t="shared" si="178"/>
        <v>68.033333333333331</v>
      </c>
      <c r="P221" s="19">
        <f t="shared" si="179"/>
        <v>816.4</v>
      </c>
      <c r="Q221" s="419">
        <f t="shared" si="180"/>
        <v>0</v>
      </c>
      <c r="R221" s="101"/>
      <c r="S221" s="390">
        <f t="shared" si="181"/>
        <v>8164</v>
      </c>
      <c r="T221" s="19">
        <f t="shared" si="182"/>
        <v>8164</v>
      </c>
      <c r="U221" s="19">
        <f t="shared" si="183"/>
        <v>0</v>
      </c>
    </row>
    <row r="222" spans="2:22">
      <c r="D222" s="15">
        <v>2</v>
      </c>
      <c r="E222" s="428" t="s">
        <v>183</v>
      </c>
      <c r="F222" s="15">
        <v>2002</v>
      </c>
      <c r="G222" s="364">
        <v>12</v>
      </c>
      <c r="H222" s="386">
        <v>0</v>
      </c>
      <c r="I222" s="387" t="s">
        <v>86</v>
      </c>
      <c r="J222" s="364">
        <v>10</v>
      </c>
      <c r="K222" s="388">
        <f t="shared" si="176"/>
        <v>2012</v>
      </c>
      <c r="L222" s="21">
        <f t="shared" si="165"/>
        <v>2013</v>
      </c>
      <c r="M222" s="24">
        <v>5827</v>
      </c>
      <c r="N222" s="19">
        <f t="shared" si="177"/>
        <v>5827</v>
      </c>
      <c r="O222" s="19">
        <f t="shared" si="178"/>
        <v>48.558333333333337</v>
      </c>
      <c r="P222" s="19">
        <f t="shared" si="179"/>
        <v>582.70000000000005</v>
      </c>
      <c r="Q222" s="419">
        <f t="shared" si="180"/>
        <v>0</v>
      </c>
      <c r="R222" s="101"/>
      <c r="S222" s="390">
        <f t="shared" si="181"/>
        <v>5827</v>
      </c>
      <c r="T222" s="19">
        <f t="shared" si="182"/>
        <v>5827</v>
      </c>
      <c r="U222" s="19">
        <f t="shared" si="183"/>
        <v>0</v>
      </c>
    </row>
    <row r="223" spans="2:22">
      <c r="E223" s="428" t="s">
        <v>184</v>
      </c>
      <c r="F223" s="15">
        <v>2002</v>
      </c>
      <c r="G223" s="364">
        <v>12</v>
      </c>
      <c r="H223" s="386">
        <v>0</v>
      </c>
      <c r="I223" s="387" t="s">
        <v>86</v>
      </c>
      <c r="J223" s="364">
        <v>10</v>
      </c>
      <c r="K223" s="388">
        <f t="shared" si="176"/>
        <v>2012</v>
      </c>
      <c r="L223" s="21">
        <f t="shared" si="165"/>
        <v>2013</v>
      </c>
      <c r="M223" s="24">
        <v>1690</v>
      </c>
      <c r="N223" s="19">
        <f t="shared" si="177"/>
        <v>1690</v>
      </c>
      <c r="O223" s="19">
        <f t="shared" si="178"/>
        <v>14.083333333333334</v>
      </c>
      <c r="P223" s="19">
        <f t="shared" si="179"/>
        <v>169</v>
      </c>
      <c r="Q223" s="419">
        <f t="shared" si="180"/>
        <v>0</v>
      </c>
      <c r="R223" s="101"/>
      <c r="S223" s="390">
        <f t="shared" si="181"/>
        <v>1690</v>
      </c>
      <c r="T223" s="19">
        <f t="shared" si="182"/>
        <v>1690</v>
      </c>
      <c r="U223" s="19">
        <f t="shared" si="183"/>
        <v>0</v>
      </c>
    </row>
    <row r="224" spans="2:22">
      <c r="D224" s="15">
        <v>4</v>
      </c>
      <c r="E224" s="428" t="s">
        <v>180</v>
      </c>
      <c r="F224" s="15">
        <v>2003</v>
      </c>
      <c r="G224" s="364">
        <v>12</v>
      </c>
      <c r="H224" s="386">
        <v>0</v>
      </c>
      <c r="I224" s="387" t="s">
        <v>86</v>
      </c>
      <c r="J224" s="364">
        <v>10</v>
      </c>
      <c r="K224" s="388">
        <f t="shared" si="176"/>
        <v>2013</v>
      </c>
      <c r="L224" s="21">
        <f t="shared" si="165"/>
        <v>2014</v>
      </c>
      <c r="M224" s="24">
        <v>16842</v>
      </c>
      <c r="N224" s="19">
        <f t="shared" si="177"/>
        <v>16842</v>
      </c>
      <c r="O224" s="19">
        <f t="shared" si="178"/>
        <v>140.35</v>
      </c>
      <c r="P224" s="19">
        <f t="shared" si="179"/>
        <v>1684.1999999999998</v>
      </c>
      <c r="Q224" s="419">
        <f t="shared" si="180"/>
        <v>0</v>
      </c>
      <c r="R224" s="101"/>
      <c r="S224" s="390">
        <f t="shared" si="181"/>
        <v>16842</v>
      </c>
      <c r="T224" s="19">
        <f t="shared" si="182"/>
        <v>16842</v>
      </c>
      <c r="U224" s="19">
        <f t="shared" si="183"/>
        <v>0</v>
      </c>
    </row>
    <row r="225" spans="4:21">
      <c r="D225" s="15">
        <v>4</v>
      </c>
      <c r="E225" s="428" t="s">
        <v>185</v>
      </c>
      <c r="F225" s="15">
        <v>2003</v>
      </c>
      <c r="G225" s="364">
        <v>12</v>
      </c>
      <c r="H225" s="386">
        <v>0</v>
      </c>
      <c r="I225" s="387" t="s">
        <v>86</v>
      </c>
      <c r="J225" s="364">
        <v>10</v>
      </c>
      <c r="K225" s="388">
        <f t="shared" si="176"/>
        <v>2013</v>
      </c>
      <c r="L225" s="21">
        <f t="shared" si="165"/>
        <v>2014</v>
      </c>
      <c r="M225" s="24">
        <v>10000</v>
      </c>
      <c r="N225" s="19">
        <f t="shared" si="177"/>
        <v>10000</v>
      </c>
      <c r="O225" s="19">
        <f t="shared" si="178"/>
        <v>83.333333333333329</v>
      </c>
      <c r="P225" s="19">
        <f t="shared" si="179"/>
        <v>1000</v>
      </c>
      <c r="Q225" s="419">
        <f t="shared" si="180"/>
        <v>0</v>
      </c>
      <c r="R225" s="101"/>
      <c r="S225" s="390">
        <f t="shared" si="181"/>
        <v>10000</v>
      </c>
      <c r="T225" s="19">
        <f t="shared" si="182"/>
        <v>10000</v>
      </c>
      <c r="U225" s="19">
        <f t="shared" si="183"/>
        <v>0</v>
      </c>
    </row>
    <row r="226" spans="4:21">
      <c r="E226" s="428" t="s">
        <v>186</v>
      </c>
      <c r="F226" s="15">
        <v>2004</v>
      </c>
      <c r="G226" s="364">
        <v>3</v>
      </c>
      <c r="H226" s="386">
        <v>0</v>
      </c>
      <c r="I226" s="387" t="s">
        <v>86</v>
      </c>
      <c r="J226" s="364">
        <v>10</v>
      </c>
      <c r="K226" s="388">
        <f t="shared" si="176"/>
        <v>2014</v>
      </c>
      <c r="L226" s="21">
        <f t="shared" si="165"/>
        <v>2014.25</v>
      </c>
      <c r="M226" s="24">
        <v>16336</v>
      </c>
      <c r="N226" s="19">
        <f t="shared" si="177"/>
        <v>16336</v>
      </c>
      <c r="O226" s="19">
        <f t="shared" si="178"/>
        <v>136.13333333333333</v>
      </c>
      <c r="P226" s="19">
        <f t="shared" si="179"/>
        <v>1633.6</v>
      </c>
      <c r="Q226" s="419">
        <f t="shared" si="180"/>
        <v>0</v>
      </c>
      <c r="R226" s="101"/>
      <c r="S226" s="390">
        <f t="shared" si="181"/>
        <v>16336</v>
      </c>
      <c r="T226" s="19">
        <f t="shared" si="182"/>
        <v>16336</v>
      </c>
      <c r="U226" s="19">
        <f t="shared" si="183"/>
        <v>0</v>
      </c>
    </row>
    <row r="227" spans="4:21">
      <c r="D227" s="15">
        <v>1</v>
      </c>
      <c r="E227" s="428" t="s">
        <v>187</v>
      </c>
      <c r="F227" s="15">
        <v>2004</v>
      </c>
      <c r="G227" s="364">
        <v>10</v>
      </c>
      <c r="H227" s="386">
        <v>0</v>
      </c>
      <c r="I227" s="387" t="s">
        <v>86</v>
      </c>
      <c r="J227" s="364">
        <v>10</v>
      </c>
      <c r="K227" s="388">
        <f t="shared" si="176"/>
        <v>2014</v>
      </c>
      <c r="L227" s="21">
        <f t="shared" si="165"/>
        <v>2014.8333333333333</v>
      </c>
      <c r="M227" s="24">
        <v>3562</v>
      </c>
      <c r="N227" s="19">
        <f t="shared" si="177"/>
        <v>3562</v>
      </c>
      <c r="O227" s="19">
        <f t="shared" si="178"/>
        <v>29.683333333333334</v>
      </c>
      <c r="P227" s="19">
        <f t="shared" si="179"/>
        <v>356.2</v>
      </c>
      <c r="Q227" s="419">
        <f t="shared" si="180"/>
        <v>0</v>
      </c>
      <c r="R227" s="101"/>
      <c r="S227" s="390">
        <f t="shared" si="181"/>
        <v>3562</v>
      </c>
      <c r="T227" s="19">
        <f t="shared" si="182"/>
        <v>3562</v>
      </c>
      <c r="U227" s="19">
        <f t="shared" si="183"/>
        <v>0</v>
      </c>
    </row>
    <row r="228" spans="4:21">
      <c r="D228" s="15">
        <v>4</v>
      </c>
      <c r="E228" s="428" t="s">
        <v>185</v>
      </c>
      <c r="F228" s="15">
        <v>2005</v>
      </c>
      <c r="G228" s="364">
        <v>6</v>
      </c>
      <c r="H228" s="386">
        <v>0</v>
      </c>
      <c r="I228" s="387" t="s">
        <v>86</v>
      </c>
      <c r="J228" s="364">
        <v>10</v>
      </c>
      <c r="K228" s="388">
        <f t="shared" si="176"/>
        <v>2015</v>
      </c>
      <c r="L228" s="21">
        <f t="shared" ref="L228:L309" si="184">+K228+(G228/12)</f>
        <v>2015.5</v>
      </c>
      <c r="M228" s="24">
        <v>14877</v>
      </c>
      <c r="N228" s="19">
        <f t="shared" si="177"/>
        <v>14877</v>
      </c>
      <c r="O228" s="19">
        <f t="shared" si="178"/>
        <v>123.97500000000001</v>
      </c>
      <c r="P228" s="19">
        <f t="shared" si="179"/>
        <v>1487.7</v>
      </c>
      <c r="Q228" s="419">
        <f t="shared" si="180"/>
        <v>0</v>
      </c>
      <c r="R228" s="101"/>
      <c r="S228" s="390">
        <f t="shared" si="181"/>
        <v>14877</v>
      </c>
      <c r="T228" s="19">
        <f t="shared" si="182"/>
        <v>14877</v>
      </c>
      <c r="U228" s="19">
        <f t="shared" si="183"/>
        <v>0</v>
      </c>
    </row>
    <row r="229" spans="4:21">
      <c r="D229" s="15">
        <v>8</v>
      </c>
      <c r="E229" s="428" t="s">
        <v>185</v>
      </c>
      <c r="F229" s="15">
        <v>2006</v>
      </c>
      <c r="G229" s="364">
        <v>4</v>
      </c>
      <c r="H229" s="386">
        <v>0</v>
      </c>
      <c r="I229" s="387" t="s">
        <v>86</v>
      </c>
      <c r="J229" s="364">
        <v>10</v>
      </c>
      <c r="K229" s="388">
        <f t="shared" si="176"/>
        <v>2016</v>
      </c>
      <c r="L229" s="21">
        <f t="shared" si="184"/>
        <v>2016.3333333333333</v>
      </c>
      <c r="M229" s="24">
        <v>28560</v>
      </c>
      <c r="N229" s="19">
        <f t="shared" si="177"/>
        <v>28560</v>
      </c>
      <c r="O229" s="19">
        <f t="shared" si="178"/>
        <v>238</v>
      </c>
      <c r="P229" s="19">
        <f t="shared" si="179"/>
        <v>2856</v>
      </c>
      <c r="Q229" s="419">
        <f t="shared" si="180"/>
        <v>0</v>
      </c>
      <c r="R229" s="101"/>
      <c r="S229" s="390">
        <f t="shared" si="181"/>
        <v>28560</v>
      </c>
      <c r="T229" s="19">
        <f t="shared" si="182"/>
        <v>28560</v>
      </c>
      <c r="U229" s="19">
        <f t="shared" si="183"/>
        <v>0</v>
      </c>
    </row>
    <row r="230" spans="4:21">
      <c r="D230" s="15">
        <v>2</v>
      </c>
      <c r="E230" s="428" t="s">
        <v>188</v>
      </c>
      <c r="F230" s="15">
        <v>2006</v>
      </c>
      <c r="G230" s="364">
        <v>4</v>
      </c>
      <c r="H230" s="386">
        <v>0</v>
      </c>
      <c r="I230" s="387" t="s">
        <v>86</v>
      </c>
      <c r="J230" s="364">
        <v>10</v>
      </c>
      <c r="K230" s="388">
        <f t="shared" si="176"/>
        <v>2016</v>
      </c>
      <c r="L230" s="21">
        <f t="shared" si="184"/>
        <v>2016.3333333333333</v>
      </c>
      <c r="M230" s="24">
        <f>4300+4300</f>
        <v>8600</v>
      </c>
      <c r="N230" s="19">
        <f t="shared" si="177"/>
        <v>8600</v>
      </c>
      <c r="O230" s="19">
        <f t="shared" si="178"/>
        <v>71.666666666666671</v>
      </c>
      <c r="P230" s="19">
        <f t="shared" si="179"/>
        <v>860</v>
      </c>
      <c r="Q230" s="419">
        <f t="shared" si="180"/>
        <v>0</v>
      </c>
      <c r="R230" s="101"/>
      <c r="S230" s="390">
        <f t="shared" si="181"/>
        <v>8600</v>
      </c>
      <c r="T230" s="19">
        <f t="shared" si="182"/>
        <v>8600</v>
      </c>
      <c r="U230" s="19">
        <f t="shared" si="183"/>
        <v>0</v>
      </c>
    </row>
    <row r="231" spans="4:21">
      <c r="D231" s="15">
        <v>2</v>
      </c>
      <c r="E231" s="428" t="s">
        <v>189</v>
      </c>
      <c r="F231" s="15">
        <v>2006</v>
      </c>
      <c r="G231" s="364">
        <v>4</v>
      </c>
      <c r="H231" s="386">
        <v>0</v>
      </c>
      <c r="I231" s="387" t="s">
        <v>86</v>
      </c>
      <c r="J231" s="364">
        <v>10</v>
      </c>
      <c r="K231" s="388">
        <f t="shared" si="176"/>
        <v>2016</v>
      </c>
      <c r="L231" s="21">
        <f t="shared" si="184"/>
        <v>2016.3333333333333</v>
      </c>
      <c r="M231" s="24">
        <f>4350+4350</f>
        <v>8700</v>
      </c>
      <c r="N231" s="19">
        <f t="shared" si="177"/>
        <v>8700</v>
      </c>
      <c r="O231" s="19">
        <f t="shared" si="178"/>
        <v>72.5</v>
      </c>
      <c r="P231" s="19">
        <f t="shared" si="179"/>
        <v>870</v>
      </c>
      <c r="Q231" s="419">
        <f t="shared" si="180"/>
        <v>0</v>
      </c>
      <c r="R231" s="101"/>
      <c r="S231" s="390">
        <f t="shared" si="181"/>
        <v>8700</v>
      </c>
      <c r="T231" s="19">
        <f t="shared" si="182"/>
        <v>8700</v>
      </c>
      <c r="U231" s="19">
        <f t="shared" si="183"/>
        <v>0</v>
      </c>
    </row>
    <row r="232" spans="4:21">
      <c r="D232" s="15">
        <v>1</v>
      </c>
      <c r="E232" s="428" t="s">
        <v>190</v>
      </c>
      <c r="F232" s="15">
        <v>2006</v>
      </c>
      <c r="G232" s="364">
        <v>6</v>
      </c>
      <c r="H232" s="386">
        <v>0</v>
      </c>
      <c r="I232" s="387" t="s">
        <v>86</v>
      </c>
      <c r="J232" s="364">
        <v>10</v>
      </c>
      <c r="K232" s="388">
        <f t="shared" si="176"/>
        <v>2016</v>
      </c>
      <c r="L232" s="21">
        <f t="shared" si="184"/>
        <v>2016.5</v>
      </c>
      <c r="M232" s="24">
        <v>2650</v>
      </c>
      <c r="N232" s="19">
        <f t="shared" si="177"/>
        <v>2650</v>
      </c>
      <c r="O232" s="19">
        <f t="shared" si="178"/>
        <v>22.083333333333332</v>
      </c>
      <c r="P232" s="19">
        <f t="shared" si="179"/>
        <v>265</v>
      </c>
      <c r="Q232" s="419">
        <f t="shared" si="180"/>
        <v>0</v>
      </c>
      <c r="R232" s="101"/>
      <c r="S232" s="390">
        <f t="shared" si="181"/>
        <v>2650</v>
      </c>
      <c r="T232" s="19">
        <f t="shared" si="182"/>
        <v>2650</v>
      </c>
      <c r="U232" s="19">
        <f t="shared" si="183"/>
        <v>0</v>
      </c>
    </row>
    <row r="233" spans="4:21">
      <c r="D233" s="15">
        <v>4</v>
      </c>
      <c r="E233" s="428" t="s">
        <v>191</v>
      </c>
      <c r="F233" s="15">
        <v>2006</v>
      </c>
      <c r="G233" s="364">
        <v>6</v>
      </c>
      <c r="H233" s="386">
        <v>0</v>
      </c>
      <c r="I233" s="387" t="s">
        <v>86</v>
      </c>
      <c r="J233" s="364">
        <v>10</v>
      </c>
      <c r="K233" s="388">
        <f t="shared" si="176"/>
        <v>2016</v>
      </c>
      <c r="L233" s="21">
        <f t="shared" si="184"/>
        <v>2016.5</v>
      </c>
      <c r="M233" s="24">
        <v>21480</v>
      </c>
      <c r="N233" s="19">
        <f t="shared" si="177"/>
        <v>21480</v>
      </c>
      <c r="O233" s="19">
        <f t="shared" si="178"/>
        <v>179</v>
      </c>
      <c r="P233" s="19">
        <f t="shared" si="179"/>
        <v>2148</v>
      </c>
      <c r="Q233" s="419">
        <f t="shared" si="180"/>
        <v>0</v>
      </c>
      <c r="R233" s="101"/>
      <c r="S233" s="390">
        <f t="shared" si="181"/>
        <v>21480</v>
      </c>
      <c r="T233" s="19">
        <f t="shared" si="182"/>
        <v>21480</v>
      </c>
      <c r="U233" s="19">
        <f t="shared" si="183"/>
        <v>0</v>
      </c>
    </row>
    <row r="234" spans="4:21">
      <c r="D234" s="15">
        <v>1</v>
      </c>
      <c r="E234" s="428" t="s">
        <v>193</v>
      </c>
      <c r="F234" s="15">
        <v>2006</v>
      </c>
      <c r="G234" s="364">
        <v>6</v>
      </c>
      <c r="H234" s="386">
        <v>0</v>
      </c>
      <c r="I234" s="387" t="s">
        <v>86</v>
      </c>
      <c r="J234" s="364">
        <v>10</v>
      </c>
      <c r="K234" s="388">
        <f t="shared" si="176"/>
        <v>2016</v>
      </c>
      <c r="L234" s="21">
        <f t="shared" si="184"/>
        <v>2016.5</v>
      </c>
      <c r="M234" s="24">
        <v>4350</v>
      </c>
      <c r="N234" s="19">
        <f t="shared" si="177"/>
        <v>4350</v>
      </c>
      <c r="O234" s="19">
        <f t="shared" si="178"/>
        <v>36.25</v>
      </c>
      <c r="P234" s="19">
        <f t="shared" si="179"/>
        <v>435</v>
      </c>
      <c r="Q234" s="419">
        <f t="shared" si="180"/>
        <v>0</v>
      </c>
      <c r="R234" s="101"/>
      <c r="S234" s="390">
        <f t="shared" si="181"/>
        <v>4350</v>
      </c>
      <c r="T234" s="19">
        <f t="shared" si="182"/>
        <v>4350</v>
      </c>
      <c r="U234" s="19">
        <f t="shared" si="183"/>
        <v>0</v>
      </c>
    </row>
    <row r="235" spans="4:21">
      <c r="D235" s="15">
        <v>1</v>
      </c>
      <c r="E235" s="428" t="s">
        <v>194</v>
      </c>
      <c r="F235" s="15">
        <v>2006</v>
      </c>
      <c r="G235" s="364">
        <v>6</v>
      </c>
      <c r="H235" s="386">
        <v>0</v>
      </c>
      <c r="I235" s="387" t="s">
        <v>86</v>
      </c>
      <c r="J235" s="364">
        <v>10</v>
      </c>
      <c r="K235" s="388">
        <f t="shared" si="176"/>
        <v>2016</v>
      </c>
      <c r="L235" s="21">
        <f t="shared" si="184"/>
        <v>2016.5</v>
      </c>
      <c r="M235" s="24">
        <v>4300</v>
      </c>
      <c r="N235" s="19">
        <f t="shared" si="177"/>
        <v>4300</v>
      </c>
      <c r="O235" s="19">
        <f t="shared" si="178"/>
        <v>35.833333333333336</v>
      </c>
      <c r="P235" s="19">
        <f t="shared" si="179"/>
        <v>430</v>
      </c>
      <c r="Q235" s="419">
        <f t="shared" si="180"/>
        <v>0</v>
      </c>
      <c r="R235" s="101"/>
      <c r="S235" s="390">
        <f t="shared" si="181"/>
        <v>4300</v>
      </c>
      <c r="T235" s="19">
        <f t="shared" si="182"/>
        <v>4300</v>
      </c>
      <c r="U235" s="19">
        <f t="shared" si="183"/>
        <v>0</v>
      </c>
    </row>
    <row r="236" spans="4:21">
      <c r="D236" s="15">
        <v>1</v>
      </c>
      <c r="E236" s="428" t="s">
        <v>195</v>
      </c>
      <c r="F236" s="15">
        <v>2006</v>
      </c>
      <c r="G236" s="364">
        <v>6</v>
      </c>
      <c r="H236" s="386">
        <v>0</v>
      </c>
      <c r="I236" s="387" t="s">
        <v>86</v>
      </c>
      <c r="J236" s="364">
        <v>10</v>
      </c>
      <c r="K236" s="388">
        <f t="shared" si="176"/>
        <v>2016</v>
      </c>
      <c r="L236" s="21">
        <f t="shared" si="184"/>
        <v>2016.5</v>
      </c>
      <c r="M236" s="24">
        <v>3570</v>
      </c>
      <c r="N236" s="19">
        <f t="shared" si="177"/>
        <v>3570</v>
      </c>
      <c r="O236" s="19">
        <f t="shared" si="178"/>
        <v>29.75</v>
      </c>
      <c r="P236" s="19">
        <f t="shared" si="179"/>
        <v>357</v>
      </c>
      <c r="Q236" s="419">
        <f t="shared" si="180"/>
        <v>0</v>
      </c>
      <c r="R236" s="101"/>
      <c r="S236" s="390">
        <f t="shared" si="181"/>
        <v>3570</v>
      </c>
      <c r="T236" s="19">
        <f t="shared" si="182"/>
        <v>3570</v>
      </c>
      <c r="U236" s="19">
        <f t="shared" si="183"/>
        <v>0</v>
      </c>
    </row>
    <row r="237" spans="4:21">
      <c r="D237" s="15">
        <v>4</v>
      </c>
      <c r="E237" s="428" t="s">
        <v>195</v>
      </c>
      <c r="F237" s="15">
        <v>2006</v>
      </c>
      <c r="G237" s="364">
        <v>8</v>
      </c>
      <c r="H237" s="386">
        <v>0</v>
      </c>
      <c r="I237" s="387" t="s">
        <v>86</v>
      </c>
      <c r="J237" s="364">
        <v>10</v>
      </c>
      <c r="K237" s="388">
        <f t="shared" si="176"/>
        <v>2016</v>
      </c>
      <c r="L237" s="21">
        <f t="shared" si="184"/>
        <v>2016.6666666666667</v>
      </c>
      <c r="M237" s="24">
        <v>14280</v>
      </c>
      <c r="N237" s="19">
        <f t="shared" si="177"/>
        <v>14280</v>
      </c>
      <c r="O237" s="19">
        <f t="shared" si="178"/>
        <v>119</v>
      </c>
      <c r="P237" s="19">
        <f t="shared" si="179"/>
        <v>1428</v>
      </c>
      <c r="Q237" s="419">
        <f t="shared" si="180"/>
        <v>0</v>
      </c>
      <c r="R237" s="101"/>
      <c r="S237" s="390">
        <f t="shared" si="181"/>
        <v>14280</v>
      </c>
      <c r="T237" s="19">
        <f t="shared" si="182"/>
        <v>14280</v>
      </c>
      <c r="U237" s="19">
        <f t="shared" si="183"/>
        <v>0</v>
      </c>
    </row>
    <row r="238" spans="4:21">
      <c r="D238" s="15">
        <v>6</v>
      </c>
      <c r="E238" s="428" t="s">
        <v>195</v>
      </c>
      <c r="F238" s="15">
        <v>2006</v>
      </c>
      <c r="G238" s="364">
        <v>11</v>
      </c>
      <c r="H238" s="386">
        <v>0</v>
      </c>
      <c r="I238" s="387" t="s">
        <v>86</v>
      </c>
      <c r="J238" s="364">
        <v>10</v>
      </c>
      <c r="K238" s="388">
        <f t="shared" si="176"/>
        <v>2016</v>
      </c>
      <c r="L238" s="21">
        <f t="shared" si="184"/>
        <v>2016.9166666666667</v>
      </c>
      <c r="M238" s="24">
        <v>21594</v>
      </c>
      <c r="N238" s="19">
        <f t="shared" si="177"/>
        <v>21594</v>
      </c>
      <c r="O238" s="19">
        <f t="shared" si="178"/>
        <v>179.95000000000002</v>
      </c>
      <c r="P238" s="19">
        <f t="shared" si="179"/>
        <v>2159.4</v>
      </c>
      <c r="Q238" s="419">
        <f t="shared" si="180"/>
        <v>0</v>
      </c>
      <c r="R238" s="101"/>
      <c r="S238" s="390">
        <f t="shared" si="181"/>
        <v>21594</v>
      </c>
      <c r="T238" s="19">
        <f t="shared" si="182"/>
        <v>21594</v>
      </c>
      <c r="U238" s="19">
        <f t="shared" si="183"/>
        <v>0</v>
      </c>
    </row>
    <row r="239" spans="4:21">
      <c r="D239" s="15">
        <v>4</v>
      </c>
      <c r="E239" s="428" t="s">
        <v>196</v>
      </c>
      <c r="F239" s="15">
        <v>2007</v>
      </c>
      <c r="G239" s="364">
        <v>4</v>
      </c>
      <c r="H239" s="386">
        <v>0</v>
      </c>
      <c r="I239" s="387" t="s">
        <v>86</v>
      </c>
      <c r="J239" s="364">
        <v>10</v>
      </c>
      <c r="K239" s="388">
        <f t="shared" si="176"/>
        <v>2017</v>
      </c>
      <c r="L239" s="21">
        <f t="shared" si="184"/>
        <v>2017.3333333333333</v>
      </c>
      <c r="M239" s="24">
        <f>5270*4</f>
        <v>21080</v>
      </c>
      <c r="N239" s="19">
        <f t="shared" si="177"/>
        <v>21080</v>
      </c>
      <c r="O239" s="19">
        <f t="shared" si="178"/>
        <v>175.66666666666666</v>
      </c>
      <c r="P239" s="19">
        <f t="shared" si="179"/>
        <v>2108</v>
      </c>
      <c r="Q239" s="419">
        <f t="shared" si="180"/>
        <v>0</v>
      </c>
      <c r="R239" s="101"/>
      <c r="S239" s="390">
        <f t="shared" si="181"/>
        <v>21080</v>
      </c>
      <c r="T239" s="19">
        <f t="shared" si="182"/>
        <v>21080</v>
      </c>
      <c r="U239" s="19">
        <f t="shared" si="183"/>
        <v>0</v>
      </c>
    </row>
    <row r="240" spans="4:21">
      <c r="D240" s="15">
        <v>4</v>
      </c>
      <c r="E240" s="428" t="s">
        <v>197</v>
      </c>
      <c r="F240" s="15">
        <v>2007</v>
      </c>
      <c r="G240" s="364">
        <v>5</v>
      </c>
      <c r="H240" s="386">
        <v>0</v>
      </c>
      <c r="I240" s="387" t="s">
        <v>86</v>
      </c>
      <c r="J240" s="364">
        <v>10</v>
      </c>
      <c r="K240" s="388">
        <f t="shared" si="176"/>
        <v>2017</v>
      </c>
      <c r="L240" s="21">
        <f t="shared" si="184"/>
        <v>2017.4166666666667</v>
      </c>
      <c r="M240" s="24">
        <v>17400</v>
      </c>
      <c r="N240" s="19">
        <f t="shared" si="177"/>
        <v>17400</v>
      </c>
      <c r="O240" s="19">
        <f t="shared" si="178"/>
        <v>145</v>
      </c>
      <c r="P240" s="19">
        <f t="shared" si="179"/>
        <v>1740</v>
      </c>
      <c r="Q240" s="419">
        <f t="shared" si="180"/>
        <v>0</v>
      </c>
      <c r="R240" s="101"/>
      <c r="S240" s="390">
        <f t="shared" si="181"/>
        <v>17400</v>
      </c>
      <c r="T240" s="19">
        <f t="shared" si="182"/>
        <v>17400</v>
      </c>
      <c r="U240" s="19">
        <f t="shared" si="183"/>
        <v>0</v>
      </c>
    </row>
    <row r="241" spans="2:21">
      <c r="D241" s="15">
        <v>6</v>
      </c>
      <c r="E241" s="428" t="s">
        <v>198</v>
      </c>
      <c r="F241" s="15">
        <v>2007</v>
      </c>
      <c r="G241" s="364">
        <v>5</v>
      </c>
      <c r="H241" s="386">
        <v>0</v>
      </c>
      <c r="I241" s="387" t="s">
        <v>86</v>
      </c>
      <c r="J241" s="364">
        <v>10</v>
      </c>
      <c r="K241" s="388">
        <f t="shared" si="176"/>
        <v>2017</v>
      </c>
      <c r="L241" s="21">
        <f t="shared" si="184"/>
        <v>2017.4166666666667</v>
      </c>
      <c r="M241" s="24">
        <v>20940</v>
      </c>
      <c r="N241" s="19">
        <f t="shared" si="177"/>
        <v>20940</v>
      </c>
      <c r="O241" s="19">
        <f t="shared" si="178"/>
        <v>174.5</v>
      </c>
      <c r="P241" s="19">
        <f t="shared" si="179"/>
        <v>2094</v>
      </c>
      <c r="Q241" s="419">
        <f t="shared" si="180"/>
        <v>0</v>
      </c>
      <c r="R241" s="101"/>
      <c r="S241" s="390">
        <f t="shared" si="181"/>
        <v>20940</v>
      </c>
      <c r="T241" s="19">
        <f t="shared" si="182"/>
        <v>20940</v>
      </c>
      <c r="U241" s="19">
        <f t="shared" si="183"/>
        <v>0</v>
      </c>
    </row>
    <row r="242" spans="2:21">
      <c r="D242" s="15">
        <v>3</v>
      </c>
      <c r="E242" s="428" t="s">
        <v>199</v>
      </c>
      <c r="F242" s="15">
        <v>2008</v>
      </c>
      <c r="G242" s="364">
        <v>3</v>
      </c>
      <c r="H242" s="386">
        <v>0</v>
      </c>
      <c r="I242" s="387" t="s">
        <v>86</v>
      </c>
      <c r="J242" s="364">
        <v>10</v>
      </c>
      <c r="K242" s="388">
        <f t="shared" si="176"/>
        <v>2018</v>
      </c>
      <c r="L242" s="21">
        <f t="shared" si="184"/>
        <v>2018.25</v>
      </c>
      <c r="M242" s="24">
        <v>13735</v>
      </c>
      <c r="N242" s="19">
        <f t="shared" si="177"/>
        <v>13735</v>
      </c>
      <c r="O242" s="19">
        <f t="shared" si="178"/>
        <v>114.45833333333333</v>
      </c>
      <c r="P242" s="19">
        <f t="shared" si="179"/>
        <v>1373.5</v>
      </c>
      <c r="Q242" s="419">
        <f t="shared" si="180"/>
        <v>0</v>
      </c>
      <c r="R242" s="101"/>
      <c r="S242" s="390">
        <f t="shared" si="181"/>
        <v>13735</v>
      </c>
      <c r="T242" s="19">
        <f t="shared" si="182"/>
        <v>13735</v>
      </c>
      <c r="U242" s="19">
        <f t="shared" si="183"/>
        <v>0</v>
      </c>
    </row>
    <row r="243" spans="2:21">
      <c r="B243" s="15">
        <v>237931</v>
      </c>
      <c r="C243" s="364"/>
      <c r="D243" s="388">
        <v>1</v>
      </c>
      <c r="E243" s="385" t="s">
        <v>568</v>
      </c>
      <c r="F243" s="15">
        <v>2008</v>
      </c>
      <c r="G243" s="364">
        <v>11</v>
      </c>
      <c r="H243" s="386">
        <v>0</v>
      </c>
      <c r="I243" s="387" t="s">
        <v>86</v>
      </c>
      <c r="J243" s="364">
        <v>7</v>
      </c>
      <c r="K243" s="388">
        <f>F243+J243</f>
        <v>2015</v>
      </c>
      <c r="L243" s="21">
        <f>+K243+(G243/12)</f>
        <v>2015.9166666666667</v>
      </c>
      <c r="M243" s="20">
        <v>1700</v>
      </c>
      <c r="N243" s="19">
        <f>M243-M243*H243</f>
        <v>1700</v>
      </c>
      <c r="O243" s="19">
        <f>N243/J243/12</f>
        <v>20.238095238095237</v>
      </c>
      <c r="P243" s="19">
        <f>+O243*12</f>
        <v>242.85714285714283</v>
      </c>
      <c r="Q243" s="419">
        <f t="shared" si="180"/>
        <v>0</v>
      </c>
      <c r="R243" s="101"/>
      <c r="S243" s="390">
        <f t="shared" si="181"/>
        <v>1700</v>
      </c>
      <c r="T243" s="19">
        <f t="shared" si="182"/>
        <v>1700</v>
      </c>
      <c r="U243" s="19">
        <f t="shared" si="183"/>
        <v>0</v>
      </c>
    </row>
    <row r="244" spans="2:21">
      <c r="B244" s="15">
        <v>237930</v>
      </c>
      <c r="C244" s="364"/>
      <c r="D244" s="388">
        <v>1</v>
      </c>
      <c r="E244" s="385" t="s">
        <v>569</v>
      </c>
      <c r="F244" s="15">
        <v>2008</v>
      </c>
      <c r="G244" s="364">
        <v>11</v>
      </c>
      <c r="H244" s="386">
        <v>0</v>
      </c>
      <c r="I244" s="387" t="s">
        <v>86</v>
      </c>
      <c r="J244" s="364">
        <v>7</v>
      </c>
      <c r="K244" s="388">
        <f>F244+J244</f>
        <v>2015</v>
      </c>
      <c r="L244" s="21">
        <f>+K244+(G244/12)</f>
        <v>2015.9166666666667</v>
      </c>
      <c r="M244" s="20">
        <v>1092.8499999999999</v>
      </c>
      <c r="N244" s="19">
        <f>M244-M244*H244</f>
        <v>1092.8499999999999</v>
      </c>
      <c r="O244" s="19">
        <f>N244/J244/12</f>
        <v>13.010119047619048</v>
      </c>
      <c r="P244" s="19">
        <f>+O244*12</f>
        <v>156.12142857142857</v>
      </c>
      <c r="Q244" s="419">
        <f t="shared" si="180"/>
        <v>0</v>
      </c>
      <c r="R244" s="101"/>
      <c r="S244" s="390">
        <f t="shared" si="181"/>
        <v>1092.8499999999999</v>
      </c>
      <c r="T244" s="19">
        <f t="shared" si="182"/>
        <v>1092.8499999999999</v>
      </c>
      <c r="U244" s="19">
        <f t="shared" si="183"/>
        <v>0</v>
      </c>
    </row>
    <row r="245" spans="2:21">
      <c r="B245" s="15">
        <v>237929</v>
      </c>
      <c r="C245" s="364"/>
      <c r="D245" s="388">
        <v>7</v>
      </c>
      <c r="E245" s="385" t="s">
        <v>570</v>
      </c>
      <c r="F245" s="15">
        <v>2008</v>
      </c>
      <c r="G245" s="364">
        <v>11</v>
      </c>
      <c r="H245" s="386">
        <v>0</v>
      </c>
      <c r="I245" s="387" t="s">
        <v>86</v>
      </c>
      <c r="J245" s="364">
        <v>7</v>
      </c>
      <c r="K245" s="388">
        <f>F245+J245</f>
        <v>2015</v>
      </c>
      <c r="L245" s="21">
        <f>+K245+(G245/12)</f>
        <v>2015.9166666666667</v>
      </c>
      <c r="M245" s="20">
        <v>9100</v>
      </c>
      <c r="N245" s="19">
        <f>M245-M245*H245</f>
        <v>9100</v>
      </c>
      <c r="O245" s="19">
        <f>N245/J245/12</f>
        <v>108.33333333333333</v>
      </c>
      <c r="P245" s="19">
        <f>+O245*12</f>
        <v>1300</v>
      </c>
      <c r="Q245" s="419">
        <f t="shared" si="180"/>
        <v>0</v>
      </c>
      <c r="R245" s="101"/>
      <c r="S245" s="390">
        <f t="shared" si="181"/>
        <v>9100</v>
      </c>
      <c r="T245" s="19">
        <f t="shared" si="182"/>
        <v>9100</v>
      </c>
      <c r="U245" s="19">
        <f t="shared" si="183"/>
        <v>0</v>
      </c>
    </row>
    <row r="246" spans="2:21">
      <c r="D246" s="15">
        <v>1</v>
      </c>
      <c r="E246" s="428" t="s">
        <v>199</v>
      </c>
      <c r="F246" s="15">
        <v>2009</v>
      </c>
      <c r="G246" s="364">
        <v>12</v>
      </c>
      <c r="H246" s="386">
        <v>0</v>
      </c>
      <c r="I246" s="387" t="s">
        <v>86</v>
      </c>
      <c r="J246" s="364">
        <v>10</v>
      </c>
      <c r="K246" s="388">
        <f t="shared" si="176"/>
        <v>2019</v>
      </c>
      <c r="L246" s="21">
        <f t="shared" si="184"/>
        <v>2020</v>
      </c>
      <c r="M246" s="24">
        <v>5181</v>
      </c>
      <c r="N246" s="19">
        <f t="shared" si="177"/>
        <v>5181</v>
      </c>
      <c r="O246" s="19">
        <f t="shared" si="178"/>
        <v>43.175000000000004</v>
      </c>
      <c r="P246" s="19">
        <f t="shared" si="179"/>
        <v>518.1</v>
      </c>
      <c r="Q246" s="419">
        <f t="shared" si="180"/>
        <v>0</v>
      </c>
      <c r="R246" s="101"/>
      <c r="S246" s="390">
        <f t="shared" si="181"/>
        <v>5181</v>
      </c>
      <c r="T246" s="19">
        <f t="shared" si="182"/>
        <v>5181</v>
      </c>
      <c r="U246" s="19">
        <f t="shared" si="183"/>
        <v>0</v>
      </c>
    </row>
    <row r="247" spans="2:21">
      <c r="D247" s="15">
        <v>2</v>
      </c>
      <c r="E247" s="428" t="s">
        <v>200</v>
      </c>
      <c r="F247" s="15">
        <v>2010</v>
      </c>
      <c r="G247" s="364">
        <v>10</v>
      </c>
      <c r="H247" s="386">
        <v>0</v>
      </c>
      <c r="I247" s="387" t="s">
        <v>86</v>
      </c>
      <c r="J247" s="364">
        <v>10</v>
      </c>
      <c r="K247" s="388">
        <f t="shared" si="176"/>
        <v>2020</v>
      </c>
      <c r="L247" s="21">
        <f t="shared" si="184"/>
        <v>2020.8333333333333</v>
      </c>
      <c r="M247" s="24">
        <v>7321.45</v>
      </c>
      <c r="N247" s="19">
        <f t="shared" si="177"/>
        <v>7321.45</v>
      </c>
      <c r="O247" s="19">
        <f t="shared" si="178"/>
        <v>61.012083333333329</v>
      </c>
      <c r="P247" s="19">
        <f t="shared" si="179"/>
        <v>732.14499999999998</v>
      </c>
      <c r="Q247" s="419">
        <f t="shared" si="180"/>
        <v>0</v>
      </c>
      <c r="R247" s="101"/>
      <c r="S247" s="390">
        <f t="shared" si="181"/>
        <v>7321.45</v>
      </c>
      <c r="T247" s="19">
        <f t="shared" si="182"/>
        <v>7321.45</v>
      </c>
      <c r="U247" s="19">
        <f t="shared" si="183"/>
        <v>0</v>
      </c>
    </row>
    <row r="248" spans="2:21">
      <c r="D248" s="15">
        <v>3</v>
      </c>
      <c r="E248" s="428" t="s">
        <v>201</v>
      </c>
      <c r="F248" s="15">
        <v>2011</v>
      </c>
      <c r="G248" s="364">
        <v>5</v>
      </c>
      <c r="H248" s="386">
        <v>0</v>
      </c>
      <c r="I248" s="387" t="s">
        <v>86</v>
      </c>
      <c r="J248" s="364">
        <v>10</v>
      </c>
      <c r="K248" s="388">
        <f t="shared" si="176"/>
        <v>2021</v>
      </c>
      <c r="L248" s="21">
        <f t="shared" si="184"/>
        <v>2021.4166666666667</v>
      </c>
      <c r="M248" s="24">
        <v>16462</v>
      </c>
      <c r="N248" s="19">
        <f t="shared" si="177"/>
        <v>16462</v>
      </c>
      <c r="O248" s="19">
        <f t="shared" si="178"/>
        <v>137.18333333333334</v>
      </c>
      <c r="P248" s="19">
        <f t="shared" si="179"/>
        <v>1646.2</v>
      </c>
      <c r="Q248" s="419">
        <f t="shared" si="180"/>
        <v>0</v>
      </c>
      <c r="R248" s="101"/>
      <c r="S248" s="390">
        <f t="shared" si="181"/>
        <v>16462</v>
      </c>
      <c r="T248" s="19">
        <f t="shared" si="182"/>
        <v>16462</v>
      </c>
      <c r="U248" s="19">
        <f t="shared" si="183"/>
        <v>0</v>
      </c>
    </row>
    <row r="249" spans="2:21">
      <c r="B249" s="15">
        <v>91082</v>
      </c>
      <c r="D249" s="15">
        <v>2</v>
      </c>
      <c r="E249" s="428" t="s">
        <v>202</v>
      </c>
      <c r="F249" s="15">
        <v>2012</v>
      </c>
      <c r="G249" s="364">
        <v>2</v>
      </c>
      <c r="H249" s="386">
        <v>0</v>
      </c>
      <c r="I249" s="387" t="s">
        <v>86</v>
      </c>
      <c r="J249" s="364">
        <v>10</v>
      </c>
      <c r="K249" s="388">
        <f t="shared" si="176"/>
        <v>2022</v>
      </c>
      <c r="L249" s="21">
        <f t="shared" si="184"/>
        <v>2022.1666666666667</v>
      </c>
      <c r="M249" s="24">
        <v>3772.11</v>
      </c>
      <c r="N249" s="19">
        <f t="shared" si="177"/>
        <v>3772.11</v>
      </c>
      <c r="O249" s="19">
        <f t="shared" si="178"/>
        <v>31.434250000000002</v>
      </c>
      <c r="P249" s="19">
        <f t="shared" si="179"/>
        <v>377.21100000000001</v>
      </c>
      <c r="Q249" s="419">
        <f t="shared" si="180"/>
        <v>0</v>
      </c>
      <c r="R249" s="101"/>
      <c r="S249" s="390">
        <f t="shared" si="181"/>
        <v>3772.11</v>
      </c>
      <c r="T249" s="19">
        <f t="shared" si="182"/>
        <v>3772.11</v>
      </c>
      <c r="U249" s="19">
        <f t="shared" si="183"/>
        <v>0</v>
      </c>
    </row>
    <row r="250" spans="2:21">
      <c r="B250" s="15">
        <v>94620</v>
      </c>
      <c r="D250" s="15">
        <v>2</v>
      </c>
      <c r="E250" s="428" t="s">
        <v>203</v>
      </c>
      <c r="F250" s="15">
        <v>2012</v>
      </c>
      <c r="G250" s="364">
        <v>2</v>
      </c>
      <c r="H250" s="386">
        <v>0</v>
      </c>
      <c r="I250" s="387" t="s">
        <v>86</v>
      </c>
      <c r="J250" s="364">
        <v>10</v>
      </c>
      <c r="K250" s="388">
        <f t="shared" si="176"/>
        <v>2022</v>
      </c>
      <c r="L250" s="21">
        <f t="shared" si="184"/>
        <v>2022.1666666666667</v>
      </c>
      <c r="M250" s="24">
        <v>2180.86</v>
      </c>
      <c r="N250" s="19">
        <f t="shared" si="177"/>
        <v>2180.86</v>
      </c>
      <c r="O250" s="19">
        <f t="shared" si="178"/>
        <v>18.173833333333334</v>
      </c>
      <c r="P250" s="19">
        <f t="shared" si="179"/>
        <v>218.08600000000001</v>
      </c>
      <c r="Q250" s="419">
        <f t="shared" si="180"/>
        <v>0</v>
      </c>
      <c r="R250" s="101"/>
      <c r="S250" s="390">
        <f t="shared" si="181"/>
        <v>2180.86</v>
      </c>
      <c r="T250" s="19">
        <f t="shared" si="182"/>
        <v>2180.86</v>
      </c>
      <c r="U250" s="19">
        <f t="shared" si="183"/>
        <v>0</v>
      </c>
    </row>
    <row r="251" spans="2:21">
      <c r="B251" s="15">
        <v>103242</v>
      </c>
      <c r="C251" s="364" t="s">
        <v>111</v>
      </c>
      <c r="D251" s="388">
        <v>4</v>
      </c>
      <c r="E251" s="385" t="s">
        <v>295</v>
      </c>
      <c r="F251" s="15">
        <v>2013</v>
      </c>
      <c r="G251" s="364">
        <v>3</v>
      </c>
      <c r="H251" s="386">
        <v>0</v>
      </c>
      <c r="I251" s="387" t="s">
        <v>86</v>
      </c>
      <c r="J251" s="364">
        <v>10</v>
      </c>
      <c r="K251" s="388">
        <f t="shared" si="176"/>
        <v>2023</v>
      </c>
      <c r="L251" s="21">
        <f t="shared" si="184"/>
        <v>2023.25</v>
      </c>
      <c r="M251" s="20">
        <v>5263.3</v>
      </c>
      <c r="N251" s="19">
        <f t="shared" si="177"/>
        <v>5263.3</v>
      </c>
      <c r="O251" s="19">
        <f t="shared" si="178"/>
        <v>43.860833333333339</v>
      </c>
      <c r="P251" s="19">
        <f t="shared" si="179"/>
        <v>526.33000000000004</v>
      </c>
      <c r="Q251" s="419">
        <f t="shared" si="180"/>
        <v>0</v>
      </c>
      <c r="R251" s="101"/>
      <c r="S251" s="390">
        <f t="shared" si="181"/>
        <v>5263.3</v>
      </c>
      <c r="T251" s="19">
        <f t="shared" si="182"/>
        <v>5263.3</v>
      </c>
      <c r="U251" s="19">
        <f t="shared" si="183"/>
        <v>0</v>
      </c>
    </row>
    <row r="252" spans="2:21">
      <c r="B252" s="15">
        <v>107054</v>
      </c>
      <c r="C252" s="364"/>
      <c r="D252" s="388">
        <v>3</v>
      </c>
      <c r="E252" s="385" t="s">
        <v>298</v>
      </c>
      <c r="F252" s="15">
        <v>2013</v>
      </c>
      <c r="G252" s="364">
        <v>8</v>
      </c>
      <c r="H252" s="386">
        <v>0</v>
      </c>
      <c r="I252" s="387" t="s">
        <v>86</v>
      </c>
      <c r="J252" s="364">
        <v>10</v>
      </c>
      <c r="K252" s="388">
        <f t="shared" si="176"/>
        <v>2023</v>
      </c>
      <c r="L252" s="21">
        <f t="shared" si="184"/>
        <v>2023.6666666666667</v>
      </c>
      <c r="M252" s="20">
        <v>9676</v>
      </c>
      <c r="N252" s="19">
        <f t="shared" si="177"/>
        <v>9676</v>
      </c>
      <c r="O252" s="19">
        <f t="shared" si="178"/>
        <v>80.63333333333334</v>
      </c>
      <c r="P252" s="19">
        <f t="shared" si="179"/>
        <v>967.60000000000014</v>
      </c>
      <c r="Q252" s="419">
        <f t="shared" si="180"/>
        <v>0</v>
      </c>
      <c r="R252" s="101"/>
      <c r="S252" s="390">
        <f t="shared" si="181"/>
        <v>9272.8333333332594</v>
      </c>
      <c r="T252" s="19">
        <f t="shared" si="182"/>
        <v>9676</v>
      </c>
      <c r="U252" s="19">
        <f t="shared" si="183"/>
        <v>0</v>
      </c>
    </row>
    <row r="253" spans="2:21">
      <c r="B253" s="15">
        <v>109995</v>
      </c>
      <c r="C253" s="364"/>
      <c r="D253" s="388">
        <v>4</v>
      </c>
      <c r="E253" s="385" t="s">
        <v>311</v>
      </c>
      <c r="F253" s="15">
        <v>2013</v>
      </c>
      <c r="G253" s="364">
        <v>12</v>
      </c>
      <c r="H253" s="386">
        <v>0</v>
      </c>
      <c r="I253" s="387" t="s">
        <v>86</v>
      </c>
      <c r="J253" s="364">
        <v>10</v>
      </c>
      <c r="K253" s="388">
        <f t="shared" si="176"/>
        <v>2023</v>
      </c>
      <c r="L253" s="21">
        <f t="shared" si="184"/>
        <v>2024</v>
      </c>
      <c r="M253" s="20">
        <v>24400</v>
      </c>
      <c r="N253" s="19">
        <f t="shared" si="177"/>
        <v>24400</v>
      </c>
      <c r="O253" s="19">
        <f t="shared" si="178"/>
        <v>203.33333333333334</v>
      </c>
      <c r="P253" s="19">
        <f t="shared" si="179"/>
        <v>2440</v>
      </c>
      <c r="Q253" s="419">
        <f t="shared" si="180"/>
        <v>0</v>
      </c>
      <c r="R253" s="101"/>
      <c r="S253" s="390">
        <f t="shared" si="181"/>
        <v>22570</v>
      </c>
      <c r="T253" s="19">
        <f t="shared" si="182"/>
        <v>24400</v>
      </c>
      <c r="U253" s="19">
        <f t="shared" si="183"/>
        <v>0</v>
      </c>
    </row>
    <row r="254" spans="2:21">
      <c r="B254" s="15">
        <v>118137</v>
      </c>
      <c r="C254" s="364"/>
      <c r="D254" s="388">
        <v>60</v>
      </c>
      <c r="E254" s="385" t="s">
        <v>320</v>
      </c>
      <c r="F254" s="15">
        <v>2014</v>
      </c>
      <c r="G254" s="364">
        <v>12</v>
      </c>
      <c r="H254" s="386">
        <v>0</v>
      </c>
      <c r="I254" s="387" t="s">
        <v>86</v>
      </c>
      <c r="J254" s="364">
        <v>5</v>
      </c>
      <c r="K254" s="388">
        <f t="shared" si="176"/>
        <v>2019</v>
      </c>
      <c r="L254" s="21">
        <f t="shared" si="184"/>
        <v>2020</v>
      </c>
      <c r="M254" s="20">
        <v>12580.08</v>
      </c>
      <c r="N254" s="19">
        <f t="shared" si="177"/>
        <v>12580.08</v>
      </c>
      <c r="O254" s="19">
        <f t="shared" si="178"/>
        <v>209.66800000000001</v>
      </c>
      <c r="P254" s="19">
        <f t="shared" si="179"/>
        <v>2516.0160000000001</v>
      </c>
      <c r="Q254" s="419">
        <f t="shared" si="180"/>
        <v>0</v>
      </c>
      <c r="R254" s="101"/>
      <c r="S254" s="390">
        <f t="shared" si="181"/>
        <v>12580.08</v>
      </c>
      <c r="T254" s="19">
        <f t="shared" si="182"/>
        <v>12580.08</v>
      </c>
      <c r="U254" s="19">
        <f t="shared" si="183"/>
        <v>0</v>
      </c>
    </row>
    <row r="255" spans="2:21">
      <c r="B255" s="15">
        <v>132888</v>
      </c>
      <c r="C255" s="364"/>
      <c r="D255" s="388">
        <v>1</v>
      </c>
      <c r="E255" s="385" t="s">
        <v>344</v>
      </c>
      <c r="F255" s="15">
        <v>2016</v>
      </c>
      <c r="G255" s="364">
        <v>4</v>
      </c>
      <c r="H255" s="386">
        <v>0</v>
      </c>
      <c r="I255" s="387" t="s">
        <v>86</v>
      </c>
      <c r="J255" s="364">
        <v>10</v>
      </c>
      <c r="K255" s="388">
        <f t="shared" si="176"/>
        <v>2026</v>
      </c>
      <c r="L255" s="21">
        <f t="shared" si="184"/>
        <v>2026.3333333333333</v>
      </c>
      <c r="M255" s="20">
        <v>5420</v>
      </c>
      <c r="N255" s="19">
        <f t="shared" si="177"/>
        <v>5420</v>
      </c>
      <c r="O255" s="19">
        <f t="shared" si="178"/>
        <v>45.166666666666664</v>
      </c>
      <c r="P255" s="19">
        <f t="shared" si="179"/>
        <v>542</v>
      </c>
      <c r="Q255" s="419">
        <f t="shared" si="180"/>
        <v>542</v>
      </c>
      <c r="R255" s="101"/>
      <c r="S255" s="390">
        <f t="shared" si="181"/>
        <v>3748.8333333333744</v>
      </c>
      <c r="T255" s="19">
        <f t="shared" si="182"/>
        <v>4290.833333333374</v>
      </c>
      <c r="U255" s="19">
        <f t="shared" si="183"/>
        <v>1129.166666666626</v>
      </c>
    </row>
    <row r="256" spans="2:21">
      <c r="B256" s="15">
        <v>172664</v>
      </c>
      <c r="C256" s="364"/>
      <c r="D256" s="388">
        <v>4</v>
      </c>
      <c r="E256" s="385" t="s">
        <v>385</v>
      </c>
      <c r="F256" s="15">
        <v>2017</v>
      </c>
      <c r="G256" s="364">
        <v>1</v>
      </c>
      <c r="H256" s="386">
        <v>0</v>
      </c>
      <c r="I256" s="387" t="s">
        <v>86</v>
      </c>
      <c r="J256" s="364">
        <v>12</v>
      </c>
      <c r="K256" s="388">
        <f t="shared" si="176"/>
        <v>2029</v>
      </c>
      <c r="L256" s="21">
        <f t="shared" si="184"/>
        <v>2029.0833333333333</v>
      </c>
      <c r="M256" s="20">
        <v>23420</v>
      </c>
      <c r="N256" s="19">
        <f t="shared" si="177"/>
        <v>23420</v>
      </c>
      <c r="O256" s="19">
        <f t="shared" si="178"/>
        <v>162.63888888888889</v>
      </c>
      <c r="P256" s="19">
        <f t="shared" si="179"/>
        <v>1951.6666666666665</v>
      </c>
      <c r="Q256" s="419">
        <f t="shared" si="180"/>
        <v>1951.6666666666665</v>
      </c>
      <c r="R256" s="101"/>
      <c r="S256" s="390">
        <f t="shared" si="181"/>
        <v>12035.277777777927</v>
      </c>
      <c r="T256" s="19">
        <f t="shared" si="182"/>
        <v>13986.944444444593</v>
      </c>
      <c r="U256" s="19">
        <f t="shared" si="183"/>
        <v>9433.0555555554074</v>
      </c>
    </row>
    <row r="257" spans="2:21">
      <c r="B257" s="15">
        <v>172663</v>
      </c>
      <c r="C257" s="364"/>
      <c r="D257" s="388">
        <v>4</v>
      </c>
      <c r="E257" s="385" t="s">
        <v>386</v>
      </c>
      <c r="F257" s="15">
        <v>2017</v>
      </c>
      <c r="G257" s="364">
        <v>1</v>
      </c>
      <c r="H257" s="386">
        <v>0</v>
      </c>
      <c r="I257" s="387" t="s">
        <v>86</v>
      </c>
      <c r="J257" s="364">
        <v>12</v>
      </c>
      <c r="K257" s="388">
        <f t="shared" si="176"/>
        <v>2029</v>
      </c>
      <c r="L257" s="21">
        <f t="shared" si="184"/>
        <v>2029.0833333333333</v>
      </c>
      <c r="M257" s="20">
        <v>27792</v>
      </c>
      <c r="N257" s="19">
        <f t="shared" si="177"/>
        <v>27792</v>
      </c>
      <c r="O257" s="19">
        <f t="shared" si="178"/>
        <v>193</v>
      </c>
      <c r="P257" s="19">
        <f t="shared" si="179"/>
        <v>2316</v>
      </c>
      <c r="Q257" s="419">
        <f t="shared" si="180"/>
        <v>2316</v>
      </c>
      <c r="R257" s="101"/>
      <c r="S257" s="390">
        <f t="shared" si="181"/>
        <v>14282.000000000175</v>
      </c>
      <c r="T257" s="19">
        <f t="shared" si="182"/>
        <v>16598.000000000175</v>
      </c>
      <c r="U257" s="19">
        <f t="shared" si="183"/>
        <v>11193.999999999825</v>
      </c>
    </row>
    <row r="258" spans="2:21">
      <c r="B258" s="15">
        <v>194614</v>
      </c>
      <c r="C258" s="364"/>
      <c r="D258" s="388">
        <v>2</v>
      </c>
      <c r="E258" s="385" t="s">
        <v>477</v>
      </c>
      <c r="F258" s="15">
        <v>2018</v>
      </c>
      <c r="G258" s="364">
        <v>1</v>
      </c>
      <c r="H258" s="386">
        <v>0</v>
      </c>
      <c r="I258" s="387" t="s">
        <v>86</v>
      </c>
      <c r="J258" s="364">
        <v>12</v>
      </c>
      <c r="K258" s="388">
        <f t="shared" ref="K258:K272" si="185">F258+J258</f>
        <v>2030</v>
      </c>
      <c r="L258" s="21">
        <f t="shared" ref="L258:L272" si="186">+K258+(G258/12)</f>
        <v>2030.0833333333333</v>
      </c>
      <c r="M258" s="20">
        <v>11980</v>
      </c>
      <c r="N258" s="19">
        <f t="shared" ref="N258:N272" si="187">M258-M258*H258</f>
        <v>11980</v>
      </c>
      <c r="O258" s="19">
        <f t="shared" ref="O258:O272" si="188">N258/J258/12</f>
        <v>83.194444444444443</v>
      </c>
      <c r="P258" s="19">
        <f t="shared" ref="P258:P272" si="189">+O258*12</f>
        <v>998.33333333333326</v>
      </c>
      <c r="Q258" s="419">
        <f t="shared" si="180"/>
        <v>998.33333333333326</v>
      </c>
      <c r="R258" s="101"/>
      <c r="S258" s="390">
        <f t="shared" si="181"/>
        <v>5158.0555555556311</v>
      </c>
      <c r="T258" s="19">
        <f t="shared" si="182"/>
        <v>6156.3888888889642</v>
      </c>
      <c r="U258" s="19">
        <f t="shared" si="183"/>
        <v>5823.6111111110358</v>
      </c>
    </row>
    <row r="259" spans="2:21">
      <c r="B259" s="15">
        <v>194613</v>
      </c>
      <c r="C259" s="364"/>
      <c r="D259" s="388">
        <v>1</v>
      </c>
      <c r="E259" s="385" t="s">
        <v>478</v>
      </c>
      <c r="F259" s="15">
        <v>2018</v>
      </c>
      <c r="G259" s="364">
        <v>1</v>
      </c>
      <c r="H259" s="386">
        <v>0</v>
      </c>
      <c r="I259" s="387" t="s">
        <v>86</v>
      </c>
      <c r="J259" s="364">
        <v>12</v>
      </c>
      <c r="K259" s="388">
        <f t="shared" si="185"/>
        <v>2030</v>
      </c>
      <c r="L259" s="21">
        <f t="shared" si="186"/>
        <v>2030.0833333333333</v>
      </c>
      <c r="M259" s="20">
        <v>4910</v>
      </c>
      <c r="N259" s="19">
        <f t="shared" si="187"/>
        <v>4910</v>
      </c>
      <c r="O259" s="19">
        <f t="shared" si="188"/>
        <v>34.097222222222221</v>
      </c>
      <c r="P259" s="19">
        <f t="shared" si="189"/>
        <v>409.16666666666663</v>
      </c>
      <c r="Q259" s="419">
        <f t="shared" si="180"/>
        <v>409.16666666666663</v>
      </c>
      <c r="R259" s="101"/>
      <c r="S259" s="390">
        <f t="shared" si="181"/>
        <v>2114.0277777778088</v>
      </c>
      <c r="T259" s="19">
        <f t="shared" si="182"/>
        <v>2523.1944444444753</v>
      </c>
      <c r="U259" s="19">
        <f t="shared" si="183"/>
        <v>2386.8055555555247</v>
      </c>
    </row>
    <row r="260" spans="2:21">
      <c r="B260" s="15">
        <v>204575</v>
      </c>
      <c r="C260" s="364"/>
      <c r="D260" s="388">
        <v>2</v>
      </c>
      <c r="E260" s="385" t="s">
        <v>479</v>
      </c>
      <c r="F260" s="15">
        <v>2018</v>
      </c>
      <c r="G260" s="364">
        <v>8</v>
      </c>
      <c r="H260" s="386">
        <v>0</v>
      </c>
      <c r="I260" s="387" t="s">
        <v>86</v>
      </c>
      <c r="J260" s="364">
        <v>12</v>
      </c>
      <c r="K260" s="388">
        <f t="shared" si="185"/>
        <v>2030</v>
      </c>
      <c r="L260" s="21">
        <f t="shared" si="186"/>
        <v>2030.6666666666667</v>
      </c>
      <c r="M260" s="20">
        <v>13283.5</v>
      </c>
      <c r="N260" s="19">
        <f t="shared" si="187"/>
        <v>13283.5</v>
      </c>
      <c r="O260" s="19">
        <f t="shared" si="188"/>
        <v>92.246527777777771</v>
      </c>
      <c r="P260" s="19">
        <f t="shared" si="189"/>
        <v>1106.9583333333333</v>
      </c>
      <c r="Q260" s="419">
        <f t="shared" si="180"/>
        <v>1106.9583333333333</v>
      </c>
      <c r="R260" s="101"/>
      <c r="S260" s="390">
        <f t="shared" si="181"/>
        <v>5073.5590277776937</v>
      </c>
      <c r="T260" s="19">
        <f t="shared" si="182"/>
        <v>6180.5173611110267</v>
      </c>
      <c r="U260" s="19">
        <f t="shared" si="183"/>
        <v>7102.9826388889733</v>
      </c>
    </row>
    <row r="261" spans="2:21">
      <c r="B261" s="15">
        <v>204284</v>
      </c>
      <c r="C261" s="364"/>
      <c r="D261" s="388">
        <v>2</v>
      </c>
      <c r="E261" s="385" t="s">
        <v>480</v>
      </c>
      <c r="F261" s="15">
        <v>2018</v>
      </c>
      <c r="G261" s="364">
        <v>8</v>
      </c>
      <c r="H261" s="386">
        <v>0</v>
      </c>
      <c r="I261" s="387" t="s">
        <v>86</v>
      </c>
      <c r="J261" s="364">
        <v>12</v>
      </c>
      <c r="K261" s="388">
        <f t="shared" si="185"/>
        <v>2030</v>
      </c>
      <c r="L261" s="21">
        <f t="shared" si="186"/>
        <v>2030.6666666666667</v>
      </c>
      <c r="M261" s="20">
        <v>13283.5</v>
      </c>
      <c r="N261" s="19">
        <f t="shared" si="187"/>
        <v>13283.5</v>
      </c>
      <c r="O261" s="19">
        <f t="shared" si="188"/>
        <v>92.246527777777771</v>
      </c>
      <c r="P261" s="19">
        <f t="shared" si="189"/>
        <v>1106.9583333333333</v>
      </c>
      <c r="Q261" s="419">
        <f t="shared" si="180"/>
        <v>1106.9583333333333</v>
      </c>
      <c r="R261" s="101"/>
      <c r="S261" s="390">
        <f t="shared" si="181"/>
        <v>5073.5590277776937</v>
      </c>
      <c r="T261" s="19">
        <f t="shared" si="182"/>
        <v>6180.5173611110267</v>
      </c>
      <c r="U261" s="19">
        <f t="shared" si="183"/>
        <v>7102.9826388889733</v>
      </c>
    </row>
    <row r="262" spans="2:21">
      <c r="B262" s="15">
        <v>204285</v>
      </c>
      <c r="C262" s="364"/>
      <c r="D262" s="388">
        <v>6</v>
      </c>
      <c r="E262" s="385" t="s">
        <v>481</v>
      </c>
      <c r="F262" s="15">
        <v>2018</v>
      </c>
      <c r="G262" s="364">
        <v>9</v>
      </c>
      <c r="H262" s="386">
        <v>0</v>
      </c>
      <c r="I262" s="387" t="s">
        <v>86</v>
      </c>
      <c r="J262" s="364">
        <v>12</v>
      </c>
      <c r="K262" s="388">
        <f t="shared" si="185"/>
        <v>2030</v>
      </c>
      <c r="L262" s="21">
        <f t="shared" si="186"/>
        <v>2030.75</v>
      </c>
      <c r="M262" s="20">
        <v>52025</v>
      </c>
      <c r="N262" s="19">
        <f t="shared" si="187"/>
        <v>52025</v>
      </c>
      <c r="O262" s="19">
        <f t="shared" si="188"/>
        <v>361.28472222222223</v>
      </c>
      <c r="P262" s="19">
        <f t="shared" si="189"/>
        <v>4335.416666666667</v>
      </c>
      <c r="Q262" s="419">
        <f t="shared" si="180"/>
        <v>4335.416666666667</v>
      </c>
      <c r="R262" s="101"/>
      <c r="S262" s="390">
        <f t="shared" si="181"/>
        <v>19509.375</v>
      </c>
      <c r="T262" s="19">
        <f t="shared" si="182"/>
        <v>23844.791666666668</v>
      </c>
      <c r="U262" s="19">
        <f t="shared" si="183"/>
        <v>28180.208333333332</v>
      </c>
    </row>
    <row r="263" spans="2:21">
      <c r="B263" s="15">
        <v>223309</v>
      </c>
      <c r="C263" s="364"/>
      <c r="D263" s="388">
        <v>7</v>
      </c>
      <c r="E263" s="385" t="s">
        <v>538</v>
      </c>
      <c r="F263" s="15">
        <v>2019</v>
      </c>
      <c r="G263" s="364">
        <v>11</v>
      </c>
      <c r="H263" s="386">
        <v>0</v>
      </c>
      <c r="I263" s="387" t="s">
        <v>86</v>
      </c>
      <c r="J263" s="364">
        <v>12</v>
      </c>
      <c r="K263" s="388">
        <f t="shared" si="185"/>
        <v>2031</v>
      </c>
      <c r="L263" s="21">
        <f t="shared" si="186"/>
        <v>2031.9166666666667</v>
      </c>
      <c r="M263" s="20">
        <v>0</v>
      </c>
      <c r="N263" s="19">
        <f t="shared" si="187"/>
        <v>0</v>
      </c>
      <c r="O263" s="19">
        <f t="shared" si="188"/>
        <v>0</v>
      </c>
      <c r="P263" s="19">
        <f t="shared" si="189"/>
        <v>0</v>
      </c>
      <c r="Q263" s="419">
        <f t="shared" si="180"/>
        <v>0</v>
      </c>
      <c r="R263" s="101"/>
      <c r="S263" s="390">
        <f t="shared" si="181"/>
        <v>0</v>
      </c>
      <c r="T263" s="19">
        <f t="shared" si="182"/>
        <v>0</v>
      </c>
      <c r="U263" s="19">
        <f t="shared" si="183"/>
        <v>0</v>
      </c>
    </row>
    <row r="264" spans="2:21">
      <c r="B264" s="15">
        <v>223180</v>
      </c>
      <c r="C264" s="364"/>
      <c r="D264" s="388">
        <v>7</v>
      </c>
      <c r="E264" s="385" t="s">
        <v>539</v>
      </c>
      <c r="F264" s="15">
        <v>2019</v>
      </c>
      <c r="G264" s="364">
        <v>11</v>
      </c>
      <c r="H264" s="386">
        <v>0</v>
      </c>
      <c r="I264" s="387" t="s">
        <v>86</v>
      </c>
      <c r="J264" s="364">
        <v>12</v>
      </c>
      <c r="K264" s="388">
        <f t="shared" si="185"/>
        <v>2031</v>
      </c>
      <c r="L264" s="21">
        <f t="shared" si="186"/>
        <v>2031.9166666666667</v>
      </c>
      <c r="M264" s="20">
        <v>0</v>
      </c>
      <c r="N264" s="19">
        <f t="shared" si="187"/>
        <v>0</v>
      </c>
      <c r="O264" s="19">
        <f t="shared" si="188"/>
        <v>0</v>
      </c>
      <c r="P264" s="19">
        <f t="shared" si="189"/>
        <v>0</v>
      </c>
      <c r="Q264" s="419">
        <f t="shared" si="180"/>
        <v>0</v>
      </c>
      <c r="R264" s="101"/>
      <c r="S264" s="390">
        <f t="shared" si="181"/>
        <v>0</v>
      </c>
      <c r="T264" s="19">
        <f t="shared" si="182"/>
        <v>0</v>
      </c>
      <c r="U264" s="19">
        <f t="shared" si="183"/>
        <v>0</v>
      </c>
    </row>
    <row r="265" spans="2:21">
      <c r="B265" s="15">
        <v>223149</v>
      </c>
      <c r="C265" s="364"/>
      <c r="D265" s="388">
        <v>22</v>
      </c>
      <c r="E265" s="385" t="s">
        <v>540</v>
      </c>
      <c r="F265" s="15">
        <v>2019</v>
      </c>
      <c r="G265" s="364">
        <v>11</v>
      </c>
      <c r="H265" s="386">
        <v>0</v>
      </c>
      <c r="I265" s="387" t="s">
        <v>86</v>
      </c>
      <c r="J265" s="364">
        <v>12</v>
      </c>
      <c r="K265" s="388">
        <f t="shared" si="185"/>
        <v>2031</v>
      </c>
      <c r="L265" s="21">
        <f t="shared" si="186"/>
        <v>2031.9166666666667</v>
      </c>
      <c r="M265" s="20">
        <v>0</v>
      </c>
      <c r="N265" s="19">
        <f t="shared" si="187"/>
        <v>0</v>
      </c>
      <c r="O265" s="19">
        <f t="shared" si="188"/>
        <v>0</v>
      </c>
      <c r="P265" s="19">
        <f t="shared" si="189"/>
        <v>0</v>
      </c>
      <c r="Q265" s="419">
        <f t="shared" si="180"/>
        <v>0</v>
      </c>
      <c r="R265" s="101"/>
      <c r="S265" s="390">
        <f t="shared" si="181"/>
        <v>0</v>
      </c>
      <c r="T265" s="19">
        <f t="shared" si="182"/>
        <v>0</v>
      </c>
      <c r="U265" s="19">
        <f t="shared" si="183"/>
        <v>0</v>
      </c>
    </row>
    <row r="266" spans="2:21">
      <c r="B266" s="15">
        <v>223090</v>
      </c>
      <c r="C266" s="364"/>
      <c r="D266" s="388">
        <v>6</v>
      </c>
      <c r="E266" s="385" t="s">
        <v>541</v>
      </c>
      <c r="F266" s="15">
        <v>2019</v>
      </c>
      <c r="G266" s="364">
        <v>11</v>
      </c>
      <c r="H266" s="386">
        <v>0</v>
      </c>
      <c r="I266" s="387" t="s">
        <v>86</v>
      </c>
      <c r="J266" s="364">
        <v>12</v>
      </c>
      <c r="K266" s="388">
        <f t="shared" si="185"/>
        <v>2031</v>
      </c>
      <c r="L266" s="21">
        <f t="shared" si="186"/>
        <v>2031.9166666666667</v>
      </c>
      <c r="M266" s="20">
        <v>0</v>
      </c>
      <c r="N266" s="19">
        <f t="shared" si="187"/>
        <v>0</v>
      </c>
      <c r="O266" s="19">
        <f t="shared" si="188"/>
        <v>0</v>
      </c>
      <c r="P266" s="19">
        <f t="shared" si="189"/>
        <v>0</v>
      </c>
      <c r="Q266" s="419">
        <f t="shared" si="180"/>
        <v>0</v>
      </c>
      <c r="R266" s="101"/>
      <c r="S266" s="390">
        <f t="shared" si="181"/>
        <v>0</v>
      </c>
      <c r="T266" s="19">
        <f t="shared" si="182"/>
        <v>0</v>
      </c>
      <c r="U266" s="19">
        <f t="shared" si="183"/>
        <v>0</v>
      </c>
    </row>
    <row r="267" spans="2:21">
      <c r="B267" s="15">
        <v>221707</v>
      </c>
      <c r="C267" s="364"/>
      <c r="D267" s="388">
        <v>2</v>
      </c>
      <c r="E267" s="385" t="s">
        <v>542</v>
      </c>
      <c r="F267" s="15">
        <v>2019</v>
      </c>
      <c r="G267" s="364">
        <v>10</v>
      </c>
      <c r="H267" s="386">
        <v>0</v>
      </c>
      <c r="I267" s="387" t="s">
        <v>86</v>
      </c>
      <c r="J267" s="364">
        <v>12</v>
      </c>
      <c r="K267" s="388">
        <f t="shared" si="185"/>
        <v>2031</v>
      </c>
      <c r="L267" s="21">
        <f t="shared" si="186"/>
        <v>2031.8333333333333</v>
      </c>
      <c r="M267" s="20">
        <v>9943.5</v>
      </c>
      <c r="N267" s="19">
        <f t="shared" si="187"/>
        <v>9943.5</v>
      </c>
      <c r="O267" s="19">
        <f t="shared" si="188"/>
        <v>69.052083333333329</v>
      </c>
      <c r="P267" s="19">
        <f t="shared" si="189"/>
        <v>828.625</v>
      </c>
      <c r="Q267" s="419">
        <f t="shared" si="180"/>
        <v>828.625</v>
      </c>
      <c r="R267" s="101"/>
      <c r="S267" s="390">
        <f t="shared" si="181"/>
        <v>2831.1354166667297</v>
      </c>
      <c r="T267" s="19">
        <f t="shared" si="182"/>
        <v>3659.7604166667297</v>
      </c>
      <c r="U267" s="19">
        <f t="shared" si="183"/>
        <v>6283.7395833332703</v>
      </c>
    </row>
    <row r="268" spans="2:21">
      <c r="B268" s="15">
        <v>221706</v>
      </c>
      <c r="C268" s="364"/>
      <c r="D268" s="388">
        <v>3</v>
      </c>
      <c r="E268" s="385" t="s">
        <v>543</v>
      </c>
      <c r="F268" s="15">
        <v>2019</v>
      </c>
      <c r="G268" s="364">
        <v>10</v>
      </c>
      <c r="H268" s="386">
        <v>0</v>
      </c>
      <c r="I268" s="387" t="s">
        <v>86</v>
      </c>
      <c r="J268" s="364">
        <v>12</v>
      </c>
      <c r="K268" s="388">
        <f t="shared" si="185"/>
        <v>2031</v>
      </c>
      <c r="L268" s="21">
        <f t="shared" si="186"/>
        <v>2031.8333333333333</v>
      </c>
      <c r="M268" s="20">
        <v>11468.25</v>
      </c>
      <c r="N268" s="19">
        <f t="shared" si="187"/>
        <v>11468.25</v>
      </c>
      <c r="O268" s="19">
        <f t="shared" si="188"/>
        <v>79.640625</v>
      </c>
      <c r="P268" s="19">
        <f t="shared" si="189"/>
        <v>955.6875</v>
      </c>
      <c r="Q268" s="419">
        <f t="shared" si="180"/>
        <v>955.6875</v>
      </c>
      <c r="R268" s="101"/>
      <c r="S268" s="390">
        <f t="shared" si="181"/>
        <v>3265.2656250000728</v>
      </c>
      <c r="T268" s="19">
        <f t="shared" si="182"/>
        <v>4220.9531250000728</v>
      </c>
      <c r="U268" s="19">
        <f t="shared" si="183"/>
        <v>7247.2968749999272</v>
      </c>
    </row>
    <row r="269" spans="2:21">
      <c r="B269" s="15">
        <v>221705</v>
      </c>
      <c r="C269" s="364"/>
      <c r="D269" s="388">
        <v>1</v>
      </c>
      <c r="E269" s="385" t="s">
        <v>542</v>
      </c>
      <c r="F269" s="15">
        <v>2019</v>
      </c>
      <c r="G269" s="364">
        <v>10</v>
      </c>
      <c r="H269" s="386">
        <v>0</v>
      </c>
      <c r="I269" s="387" t="s">
        <v>86</v>
      </c>
      <c r="J269" s="364">
        <v>12</v>
      </c>
      <c r="K269" s="388">
        <f t="shared" si="185"/>
        <v>2031</v>
      </c>
      <c r="L269" s="21">
        <f t="shared" si="186"/>
        <v>2031.8333333333333</v>
      </c>
      <c r="M269" s="20">
        <v>4971.75</v>
      </c>
      <c r="N269" s="19">
        <f t="shared" si="187"/>
        <v>4971.75</v>
      </c>
      <c r="O269" s="19">
        <f t="shared" si="188"/>
        <v>34.526041666666664</v>
      </c>
      <c r="P269" s="19">
        <f t="shared" si="189"/>
        <v>414.3125</v>
      </c>
      <c r="Q269" s="419">
        <f t="shared" si="180"/>
        <v>414.3125</v>
      </c>
      <c r="R269" s="101"/>
      <c r="S269" s="390">
        <f t="shared" si="181"/>
        <v>1415.5677083333649</v>
      </c>
      <c r="T269" s="19">
        <f t="shared" si="182"/>
        <v>1829.8802083333649</v>
      </c>
      <c r="U269" s="19">
        <f t="shared" si="183"/>
        <v>3141.8697916666351</v>
      </c>
    </row>
    <row r="270" spans="2:21">
      <c r="B270" s="15">
        <v>221704</v>
      </c>
      <c r="C270" s="364"/>
      <c r="D270" s="388">
        <v>2</v>
      </c>
      <c r="E270" s="385" t="s">
        <v>542</v>
      </c>
      <c r="F270" s="15">
        <v>2019</v>
      </c>
      <c r="G270" s="364">
        <v>10</v>
      </c>
      <c r="H270" s="386">
        <v>0</v>
      </c>
      <c r="I270" s="387" t="s">
        <v>86</v>
      </c>
      <c r="J270" s="364">
        <v>12</v>
      </c>
      <c r="K270" s="388">
        <f t="shared" si="185"/>
        <v>2031</v>
      </c>
      <c r="L270" s="21">
        <f t="shared" si="186"/>
        <v>2031.8333333333333</v>
      </c>
      <c r="M270" s="20">
        <v>9943.5</v>
      </c>
      <c r="N270" s="19">
        <f t="shared" si="187"/>
        <v>9943.5</v>
      </c>
      <c r="O270" s="19">
        <f t="shared" si="188"/>
        <v>69.052083333333329</v>
      </c>
      <c r="P270" s="19">
        <f t="shared" si="189"/>
        <v>828.625</v>
      </c>
      <c r="Q270" s="419">
        <f t="shared" si="180"/>
        <v>828.625</v>
      </c>
      <c r="R270" s="101"/>
      <c r="S270" s="390">
        <f t="shared" si="181"/>
        <v>2831.1354166667297</v>
      </c>
      <c r="T270" s="19">
        <f t="shared" si="182"/>
        <v>3659.7604166667297</v>
      </c>
      <c r="U270" s="19">
        <f t="shared" si="183"/>
        <v>6283.7395833332703</v>
      </c>
    </row>
    <row r="271" spans="2:21">
      <c r="B271" s="15">
        <v>221703</v>
      </c>
      <c r="C271" s="364"/>
      <c r="D271" s="388">
        <v>3</v>
      </c>
      <c r="E271" s="385" t="s">
        <v>544</v>
      </c>
      <c r="F271" s="15">
        <v>2019</v>
      </c>
      <c r="G271" s="364">
        <v>10</v>
      </c>
      <c r="H271" s="386">
        <v>0</v>
      </c>
      <c r="I271" s="387" t="s">
        <v>86</v>
      </c>
      <c r="J271" s="364">
        <v>12</v>
      </c>
      <c r="K271" s="388">
        <f t="shared" si="185"/>
        <v>2031</v>
      </c>
      <c r="L271" s="21">
        <f t="shared" si="186"/>
        <v>2031.8333333333333</v>
      </c>
      <c r="M271" s="20">
        <v>16171.7</v>
      </c>
      <c r="N271" s="19">
        <f t="shared" si="187"/>
        <v>16171.7</v>
      </c>
      <c r="O271" s="19">
        <f t="shared" si="188"/>
        <v>112.30347222222223</v>
      </c>
      <c r="P271" s="19">
        <f t="shared" si="189"/>
        <v>1347.6416666666667</v>
      </c>
      <c r="Q271" s="419">
        <f t="shared" si="180"/>
        <v>1347.6416666666667</v>
      </c>
      <c r="R271" s="101"/>
      <c r="S271" s="390">
        <f t="shared" si="181"/>
        <v>4604.4423611112143</v>
      </c>
      <c r="T271" s="19">
        <f t="shared" si="182"/>
        <v>5952.0840277778807</v>
      </c>
      <c r="U271" s="19">
        <f t="shared" si="183"/>
        <v>10219.61597222212</v>
      </c>
    </row>
    <row r="272" spans="2:21">
      <c r="B272" s="15">
        <v>221702</v>
      </c>
      <c r="C272" s="364"/>
      <c r="D272" s="388">
        <v>6</v>
      </c>
      <c r="E272" s="385" t="s">
        <v>545</v>
      </c>
      <c r="F272" s="15">
        <v>2019</v>
      </c>
      <c r="G272" s="364">
        <v>10</v>
      </c>
      <c r="H272" s="386">
        <v>0</v>
      </c>
      <c r="I272" s="387" t="s">
        <v>86</v>
      </c>
      <c r="J272" s="364">
        <v>12</v>
      </c>
      <c r="K272" s="388">
        <f t="shared" si="185"/>
        <v>2031</v>
      </c>
      <c r="L272" s="21">
        <f t="shared" si="186"/>
        <v>2031.8333333333333</v>
      </c>
      <c r="M272" s="20">
        <v>26752.65</v>
      </c>
      <c r="N272" s="19">
        <f t="shared" si="187"/>
        <v>26752.65</v>
      </c>
      <c r="O272" s="19">
        <f t="shared" si="188"/>
        <v>185.78229166666668</v>
      </c>
      <c r="P272" s="19">
        <f t="shared" si="189"/>
        <v>2229.3875000000003</v>
      </c>
      <c r="Q272" s="419">
        <f t="shared" si="180"/>
        <v>2229.3875000000003</v>
      </c>
      <c r="R272" s="101"/>
      <c r="S272" s="390">
        <f t="shared" si="181"/>
        <v>7617.0739583335017</v>
      </c>
      <c r="T272" s="19">
        <f t="shared" si="182"/>
        <v>9846.4614583335024</v>
      </c>
      <c r="U272" s="19">
        <f t="shared" si="183"/>
        <v>16906.188541666499</v>
      </c>
    </row>
    <row r="273" spans="4:21">
      <c r="E273" s="428"/>
      <c r="I273" s="387"/>
      <c r="K273" s="388"/>
      <c r="L273" s="21"/>
      <c r="M273" s="24"/>
      <c r="N273" s="19"/>
      <c r="O273" s="19"/>
      <c r="P273" s="19"/>
      <c r="Q273" s="19"/>
      <c r="R273" s="19"/>
      <c r="S273" s="19"/>
      <c r="T273" s="19"/>
      <c r="U273" s="19"/>
    </row>
    <row r="274" spans="4:21">
      <c r="D274" s="16">
        <f>SUM(D217:D273)</f>
        <v>248</v>
      </c>
      <c r="E274" s="406" t="s">
        <v>204</v>
      </c>
      <c r="F274" s="413"/>
      <c r="G274" s="414"/>
      <c r="H274" s="414"/>
      <c r="I274" s="416"/>
      <c r="J274" s="414"/>
      <c r="K274" s="417"/>
      <c r="L274" s="54"/>
      <c r="M274" s="26">
        <f t="shared" ref="M274:U274" si="190">SUM(M217:M273)</f>
        <v>628846.99999999988</v>
      </c>
      <c r="N274" s="26">
        <f t="shared" si="190"/>
        <v>628846.99999999988</v>
      </c>
      <c r="O274" s="26">
        <f t="shared" si="190"/>
        <v>5073.8871448412692</v>
      </c>
      <c r="P274" s="26">
        <f t="shared" si="190"/>
        <v>60886.645738095242</v>
      </c>
      <c r="Q274" s="26">
        <f t="shared" si="190"/>
        <v>19370.779166666667</v>
      </c>
      <c r="R274" s="26">
        <f t="shared" si="190"/>
        <v>0</v>
      </c>
      <c r="S274" s="26">
        <f t="shared" si="190"/>
        <v>484807.79131944518</v>
      </c>
      <c r="T274" s="26">
        <f t="shared" si="190"/>
        <v>506411.7371527786</v>
      </c>
      <c r="U274" s="26">
        <f t="shared" si="190"/>
        <v>122435.26284722143</v>
      </c>
    </row>
    <row r="275" spans="4:21">
      <c r="D275" s="16"/>
      <c r="E275" s="16"/>
      <c r="I275" s="387"/>
      <c r="K275" s="388"/>
      <c r="L275" s="21"/>
      <c r="M275" s="429"/>
      <c r="N275" s="430"/>
      <c r="O275" s="430"/>
      <c r="P275" s="47"/>
      <c r="Q275" s="47"/>
      <c r="R275" s="430"/>
      <c r="S275" s="430"/>
      <c r="T275" s="430"/>
      <c r="U275" s="430"/>
    </row>
    <row r="276" spans="4:21">
      <c r="D276" s="16"/>
      <c r="E276" s="427" t="s">
        <v>644</v>
      </c>
      <c r="I276" s="387"/>
      <c r="K276" s="388"/>
      <c r="L276" s="21"/>
      <c r="M276" s="429"/>
      <c r="N276" s="430"/>
      <c r="O276" s="430"/>
      <c r="P276" s="47"/>
      <c r="Q276" s="47"/>
      <c r="R276" s="430"/>
      <c r="S276" s="430"/>
      <c r="T276" s="430"/>
      <c r="U276" s="430"/>
    </row>
    <row r="277" spans="4:21">
      <c r="D277" s="15">
        <v>2000</v>
      </c>
      <c r="E277" s="15" t="s">
        <v>206</v>
      </c>
      <c r="F277" s="15">
        <v>2007</v>
      </c>
      <c r="G277" s="364">
        <v>9</v>
      </c>
      <c r="H277" s="386">
        <v>0</v>
      </c>
      <c r="I277" s="387" t="s">
        <v>86</v>
      </c>
      <c r="J277" s="364">
        <v>7</v>
      </c>
      <c r="K277" s="388">
        <f t="shared" ref="K277:K318" si="191">F277+J277</f>
        <v>2014</v>
      </c>
      <c r="L277" s="21">
        <f t="shared" si="184"/>
        <v>2014.75</v>
      </c>
      <c r="M277" s="365">
        <f>(32.5*2000)+3530+5893.58</f>
        <v>74423.58</v>
      </c>
      <c r="N277" s="366">
        <f t="shared" ref="N277:N318" si="192">M277-M277*H277</f>
        <v>74423.58</v>
      </c>
      <c r="O277" s="366">
        <f t="shared" ref="O277:O318" si="193">N277/J277/12</f>
        <v>885.995</v>
      </c>
      <c r="P277" s="19">
        <f t="shared" ref="P277:P318" si="194">+O277*12</f>
        <v>10631.94</v>
      </c>
      <c r="Q277" s="419">
        <f t="shared" ref="Q277:Q318" si="195">+IF(L277&gt;$N$6,P277,0)</f>
        <v>0</v>
      </c>
      <c r="R277" s="101"/>
      <c r="S277" s="390">
        <f t="shared" ref="S277:S318" si="196">+IF($L277&lt;=$N$7,$M277,IF(($F277+($G277/12))&gt;=$N$7,0,((($N277-((($L277-$N$7)*12)*$O277))))))</f>
        <v>74423.58</v>
      </c>
      <c r="T277" s="19">
        <f t="shared" ref="T277:T318" si="197">IF(L277&lt;=$N$6,M277,Q277+S277)</f>
        <v>74423.58</v>
      </c>
      <c r="U277" s="19">
        <f t="shared" ref="U277:U318" si="198">+M277-T277</f>
        <v>0</v>
      </c>
    </row>
    <row r="278" spans="4:21">
      <c r="D278" s="15">
        <v>360</v>
      </c>
      <c r="E278" s="15" t="s">
        <v>207</v>
      </c>
      <c r="F278" s="15">
        <v>2007</v>
      </c>
      <c r="G278" s="364">
        <v>10</v>
      </c>
      <c r="H278" s="386">
        <v>0</v>
      </c>
      <c r="I278" s="387" t="s">
        <v>86</v>
      </c>
      <c r="J278" s="364">
        <v>7</v>
      </c>
      <c r="K278" s="388">
        <f t="shared" si="191"/>
        <v>2014</v>
      </c>
      <c r="L278" s="21">
        <f t="shared" si="184"/>
        <v>2014.8333333333333</v>
      </c>
      <c r="M278" s="365">
        <v>18692.580000000002</v>
      </c>
      <c r="N278" s="366">
        <f t="shared" si="192"/>
        <v>18692.580000000002</v>
      </c>
      <c r="O278" s="366">
        <f t="shared" si="193"/>
        <v>222.53071428571431</v>
      </c>
      <c r="P278" s="19">
        <f t="shared" si="194"/>
        <v>2670.3685714285716</v>
      </c>
      <c r="Q278" s="419">
        <f t="shared" si="195"/>
        <v>0</v>
      </c>
      <c r="R278" s="101"/>
      <c r="S278" s="390">
        <f t="shared" si="196"/>
        <v>18692.580000000002</v>
      </c>
      <c r="T278" s="19">
        <f t="shared" si="197"/>
        <v>18692.580000000002</v>
      </c>
      <c r="U278" s="19">
        <f t="shared" si="198"/>
        <v>0</v>
      </c>
    </row>
    <row r="279" spans="4:21">
      <c r="D279" s="15">
        <v>528</v>
      </c>
      <c r="E279" s="15" t="s">
        <v>208</v>
      </c>
      <c r="F279" s="15">
        <v>2007</v>
      </c>
      <c r="G279" s="364">
        <v>10</v>
      </c>
      <c r="H279" s="386">
        <v>0</v>
      </c>
      <c r="I279" s="387" t="s">
        <v>86</v>
      </c>
      <c r="J279" s="364">
        <v>7</v>
      </c>
      <c r="K279" s="388">
        <f t="shared" si="191"/>
        <v>2014</v>
      </c>
      <c r="L279" s="21">
        <f t="shared" si="184"/>
        <v>2014.8333333333333</v>
      </c>
      <c r="M279" s="365">
        <f>(35190+3103.37+2200)/828*528</f>
        <v>25821.859130434783</v>
      </c>
      <c r="N279" s="366">
        <f t="shared" si="192"/>
        <v>25821.859130434783</v>
      </c>
      <c r="O279" s="366">
        <f t="shared" si="193"/>
        <v>307.4030848861284</v>
      </c>
      <c r="P279" s="19">
        <f t="shared" si="194"/>
        <v>3688.8370186335405</v>
      </c>
      <c r="Q279" s="419">
        <f t="shared" si="195"/>
        <v>0</v>
      </c>
      <c r="R279" s="101"/>
      <c r="S279" s="390">
        <f t="shared" si="196"/>
        <v>25821.859130434783</v>
      </c>
      <c r="T279" s="19">
        <f t="shared" si="197"/>
        <v>25821.859130434783</v>
      </c>
      <c r="U279" s="19">
        <f t="shared" si="198"/>
        <v>0</v>
      </c>
    </row>
    <row r="280" spans="4:21">
      <c r="D280" s="15">
        <v>100</v>
      </c>
      <c r="E280" s="15" t="s">
        <v>209</v>
      </c>
      <c r="F280" s="15">
        <v>2007</v>
      </c>
      <c r="G280" s="364">
        <v>10</v>
      </c>
      <c r="H280" s="386">
        <v>0</v>
      </c>
      <c r="I280" s="387" t="s">
        <v>86</v>
      </c>
      <c r="J280" s="364">
        <v>7</v>
      </c>
      <c r="K280" s="388">
        <f t="shared" si="191"/>
        <v>2014</v>
      </c>
      <c r="L280" s="21">
        <f t="shared" si="184"/>
        <v>2014.8333333333333</v>
      </c>
      <c r="M280" s="365">
        <f>4950+410.85</f>
        <v>5360.85</v>
      </c>
      <c r="N280" s="366">
        <f t="shared" si="192"/>
        <v>5360.85</v>
      </c>
      <c r="O280" s="366">
        <f t="shared" si="193"/>
        <v>63.81964285714286</v>
      </c>
      <c r="P280" s="19">
        <f t="shared" si="194"/>
        <v>765.83571428571429</v>
      </c>
      <c r="Q280" s="419">
        <f t="shared" si="195"/>
        <v>0</v>
      </c>
      <c r="R280" s="101"/>
      <c r="S280" s="390">
        <f t="shared" si="196"/>
        <v>5360.85</v>
      </c>
      <c r="T280" s="19">
        <f t="shared" si="197"/>
        <v>5360.85</v>
      </c>
      <c r="U280" s="19">
        <f t="shared" si="198"/>
        <v>0</v>
      </c>
    </row>
    <row r="281" spans="4:21">
      <c r="D281" s="15">
        <v>100</v>
      </c>
      <c r="E281" s="15" t="s">
        <v>209</v>
      </c>
      <c r="F281" s="15">
        <v>2008</v>
      </c>
      <c r="G281" s="364">
        <v>6</v>
      </c>
      <c r="H281" s="386">
        <v>0</v>
      </c>
      <c r="I281" s="387" t="s">
        <v>86</v>
      </c>
      <c r="J281" s="364">
        <v>7</v>
      </c>
      <c r="K281" s="388">
        <f t="shared" si="191"/>
        <v>2015</v>
      </c>
      <c r="L281" s="21">
        <f t="shared" si="184"/>
        <v>2015.5</v>
      </c>
      <c r="M281" s="365">
        <v>6720.8</v>
      </c>
      <c r="N281" s="366">
        <f t="shared" si="192"/>
        <v>6720.8</v>
      </c>
      <c r="O281" s="366">
        <f t="shared" si="193"/>
        <v>80.009523809523813</v>
      </c>
      <c r="P281" s="19">
        <f t="shared" si="194"/>
        <v>960.11428571428576</v>
      </c>
      <c r="Q281" s="419">
        <f t="shared" si="195"/>
        <v>0</v>
      </c>
      <c r="R281" s="101"/>
      <c r="S281" s="390">
        <f t="shared" si="196"/>
        <v>6720.8</v>
      </c>
      <c r="T281" s="19">
        <f t="shared" si="197"/>
        <v>6720.8</v>
      </c>
      <c r="U281" s="19">
        <f t="shared" si="198"/>
        <v>0</v>
      </c>
    </row>
    <row r="282" spans="4:21">
      <c r="D282" s="15">
        <v>100</v>
      </c>
      <c r="E282" s="15" t="s">
        <v>207</v>
      </c>
      <c r="F282" s="15">
        <v>2008</v>
      </c>
      <c r="G282" s="364">
        <v>6</v>
      </c>
      <c r="H282" s="386">
        <v>0</v>
      </c>
      <c r="I282" s="387" t="s">
        <v>86</v>
      </c>
      <c r="J282" s="364">
        <v>7</v>
      </c>
      <c r="K282" s="388">
        <f t="shared" si="191"/>
        <v>2015</v>
      </c>
      <c r="L282" s="21">
        <f t="shared" si="184"/>
        <v>2015.5</v>
      </c>
      <c r="M282" s="365">
        <v>6102.92</v>
      </c>
      <c r="N282" s="366">
        <f t="shared" si="192"/>
        <v>6102.92</v>
      </c>
      <c r="O282" s="366">
        <f t="shared" si="193"/>
        <v>72.653809523809528</v>
      </c>
      <c r="P282" s="19">
        <f t="shared" si="194"/>
        <v>871.84571428571439</v>
      </c>
      <c r="Q282" s="419">
        <f t="shared" si="195"/>
        <v>0</v>
      </c>
      <c r="R282" s="101"/>
      <c r="S282" s="390">
        <f t="shared" si="196"/>
        <v>6102.92</v>
      </c>
      <c r="T282" s="19">
        <f t="shared" si="197"/>
        <v>6102.92</v>
      </c>
      <c r="U282" s="19">
        <f t="shared" si="198"/>
        <v>0</v>
      </c>
    </row>
    <row r="283" spans="4:21">
      <c r="D283" s="15">
        <v>100</v>
      </c>
      <c r="E283" s="15" t="s">
        <v>206</v>
      </c>
      <c r="F283" s="15">
        <v>2008</v>
      </c>
      <c r="G283" s="364">
        <v>7</v>
      </c>
      <c r="H283" s="386">
        <v>0</v>
      </c>
      <c r="I283" s="387" t="s">
        <v>86</v>
      </c>
      <c r="J283" s="364">
        <v>7</v>
      </c>
      <c r="K283" s="388">
        <f t="shared" si="191"/>
        <v>2015</v>
      </c>
      <c r="L283" s="21">
        <f t="shared" si="184"/>
        <v>2015.5833333333333</v>
      </c>
      <c r="M283" s="365">
        <f>3350+732.5+334.77</f>
        <v>4417.2700000000004</v>
      </c>
      <c r="N283" s="366">
        <f t="shared" si="192"/>
        <v>4417.2700000000004</v>
      </c>
      <c r="O283" s="366">
        <f t="shared" si="193"/>
        <v>52.586547619047622</v>
      </c>
      <c r="P283" s="19">
        <f t="shared" si="194"/>
        <v>631.03857142857146</v>
      </c>
      <c r="Q283" s="419">
        <f t="shared" si="195"/>
        <v>0</v>
      </c>
      <c r="R283" s="101"/>
      <c r="S283" s="390">
        <f t="shared" si="196"/>
        <v>4417.2700000000004</v>
      </c>
      <c r="T283" s="19">
        <f t="shared" si="197"/>
        <v>4417.2700000000004</v>
      </c>
      <c r="U283" s="19">
        <f t="shared" si="198"/>
        <v>0</v>
      </c>
    </row>
    <row r="284" spans="4:21">
      <c r="D284" s="15">
        <v>100</v>
      </c>
      <c r="E284" s="15" t="s">
        <v>206</v>
      </c>
      <c r="F284" s="15">
        <v>2008</v>
      </c>
      <c r="G284" s="364">
        <v>7</v>
      </c>
      <c r="H284" s="386">
        <v>0</v>
      </c>
      <c r="I284" s="387" t="s">
        <v>86</v>
      </c>
      <c r="J284" s="364">
        <v>7</v>
      </c>
      <c r="K284" s="388">
        <f t="shared" si="191"/>
        <v>2015</v>
      </c>
      <c r="L284" s="21">
        <f t="shared" si="184"/>
        <v>2015.5833333333333</v>
      </c>
      <c r="M284" s="365">
        <v>4363.8999999999996</v>
      </c>
      <c r="N284" s="366">
        <f t="shared" si="192"/>
        <v>4363.8999999999996</v>
      </c>
      <c r="O284" s="366">
        <f t="shared" si="193"/>
        <v>51.951190476190476</v>
      </c>
      <c r="P284" s="19">
        <f t="shared" si="194"/>
        <v>623.41428571428571</v>
      </c>
      <c r="Q284" s="419">
        <f t="shared" si="195"/>
        <v>0</v>
      </c>
      <c r="R284" s="101"/>
      <c r="S284" s="390">
        <f t="shared" si="196"/>
        <v>4363.8999999999996</v>
      </c>
      <c r="T284" s="19">
        <f t="shared" si="197"/>
        <v>4363.8999999999996</v>
      </c>
      <c r="U284" s="19">
        <f t="shared" si="198"/>
        <v>0</v>
      </c>
    </row>
    <row r="285" spans="4:21">
      <c r="D285" s="15">
        <v>100</v>
      </c>
      <c r="E285" s="15" t="s">
        <v>207</v>
      </c>
      <c r="F285" s="15">
        <v>2008</v>
      </c>
      <c r="G285" s="364">
        <v>7</v>
      </c>
      <c r="H285" s="386">
        <v>0</v>
      </c>
      <c r="I285" s="387" t="s">
        <v>86</v>
      </c>
      <c r="J285" s="364">
        <v>7</v>
      </c>
      <c r="K285" s="388">
        <f t="shared" si="191"/>
        <v>2015</v>
      </c>
      <c r="L285" s="21">
        <f t="shared" si="184"/>
        <v>2015.5833333333333</v>
      </c>
      <c r="M285" s="365">
        <v>9680.1200000000008</v>
      </c>
      <c r="N285" s="366">
        <f t="shared" si="192"/>
        <v>9680.1200000000008</v>
      </c>
      <c r="O285" s="366">
        <f t="shared" si="193"/>
        <v>115.23952380952382</v>
      </c>
      <c r="P285" s="19">
        <f t="shared" si="194"/>
        <v>1382.8742857142859</v>
      </c>
      <c r="Q285" s="419">
        <f t="shared" si="195"/>
        <v>0</v>
      </c>
      <c r="R285" s="101"/>
      <c r="S285" s="390">
        <f t="shared" si="196"/>
        <v>9680.1200000000008</v>
      </c>
      <c r="T285" s="19">
        <f t="shared" si="197"/>
        <v>9680.1200000000008</v>
      </c>
      <c r="U285" s="19">
        <f t="shared" si="198"/>
        <v>0</v>
      </c>
    </row>
    <row r="286" spans="4:21">
      <c r="D286" s="15">
        <v>100</v>
      </c>
      <c r="E286" s="15" t="s">
        <v>208</v>
      </c>
      <c r="F286" s="15">
        <v>2008</v>
      </c>
      <c r="G286" s="364">
        <v>8</v>
      </c>
      <c r="H286" s="386">
        <v>0</v>
      </c>
      <c r="I286" s="387" t="s">
        <v>86</v>
      </c>
      <c r="J286" s="364">
        <v>7</v>
      </c>
      <c r="K286" s="388">
        <f t="shared" si="191"/>
        <v>2015</v>
      </c>
      <c r="L286" s="21">
        <f t="shared" si="184"/>
        <v>2015.6666666666667</v>
      </c>
      <c r="M286" s="365">
        <f>4465+1150+471.66+5</f>
        <v>6091.66</v>
      </c>
      <c r="N286" s="366">
        <f t="shared" si="192"/>
        <v>6091.66</v>
      </c>
      <c r="O286" s="366">
        <f t="shared" si="193"/>
        <v>72.519761904761907</v>
      </c>
      <c r="P286" s="19">
        <f t="shared" si="194"/>
        <v>870.23714285714289</v>
      </c>
      <c r="Q286" s="419">
        <f t="shared" si="195"/>
        <v>0</v>
      </c>
      <c r="R286" s="101"/>
      <c r="S286" s="390">
        <f t="shared" si="196"/>
        <v>6091.66</v>
      </c>
      <c r="T286" s="19">
        <f t="shared" si="197"/>
        <v>6091.66</v>
      </c>
      <c r="U286" s="19">
        <f t="shared" si="198"/>
        <v>0</v>
      </c>
    </row>
    <row r="287" spans="4:21">
      <c r="D287" s="15">
        <v>100</v>
      </c>
      <c r="E287" s="15" t="s">
        <v>207</v>
      </c>
      <c r="F287" s="15">
        <v>2010</v>
      </c>
      <c r="G287" s="364">
        <v>8</v>
      </c>
      <c r="H287" s="386">
        <v>0</v>
      </c>
      <c r="I287" s="387" t="s">
        <v>86</v>
      </c>
      <c r="J287" s="364">
        <v>7</v>
      </c>
      <c r="K287" s="388">
        <f t="shared" si="191"/>
        <v>2017</v>
      </c>
      <c r="L287" s="21">
        <f t="shared" si="184"/>
        <v>2017.6666666666667</v>
      </c>
      <c r="M287" s="365">
        <v>5138.5</v>
      </c>
      <c r="N287" s="366">
        <f t="shared" si="192"/>
        <v>5138.5</v>
      </c>
      <c r="O287" s="366">
        <f t="shared" si="193"/>
        <v>61.172619047619044</v>
      </c>
      <c r="P287" s="19">
        <f t="shared" si="194"/>
        <v>734.07142857142856</v>
      </c>
      <c r="Q287" s="419">
        <f t="shared" si="195"/>
        <v>0</v>
      </c>
      <c r="R287" s="101"/>
      <c r="S287" s="390">
        <f t="shared" si="196"/>
        <v>5138.5</v>
      </c>
      <c r="T287" s="19">
        <f t="shared" si="197"/>
        <v>5138.5</v>
      </c>
      <c r="U287" s="19">
        <f t="shared" si="198"/>
        <v>0</v>
      </c>
    </row>
    <row r="288" spans="4:21">
      <c r="D288" s="15">
        <v>100</v>
      </c>
      <c r="E288" s="15" t="s">
        <v>210</v>
      </c>
      <c r="F288" s="15">
        <v>2012</v>
      </c>
      <c r="G288" s="364">
        <v>1</v>
      </c>
      <c r="H288" s="386">
        <v>0</v>
      </c>
      <c r="I288" s="387" t="s">
        <v>86</v>
      </c>
      <c r="J288" s="364">
        <v>7</v>
      </c>
      <c r="K288" s="388">
        <f t="shared" si="191"/>
        <v>2019</v>
      </c>
      <c r="L288" s="21">
        <f t="shared" si="184"/>
        <v>2019.0833333333333</v>
      </c>
      <c r="M288" s="365">
        <f>1805+265.44</f>
        <v>2070.44</v>
      </c>
      <c r="N288" s="366">
        <f t="shared" si="192"/>
        <v>2070.44</v>
      </c>
      <c r="O288" s="366">
        <f t="shared" si="193"/>
        <v>24.648095238095237</v>
      </c>
      <c r="P288" s="19">
        <f t="shared" si="194"/>
        <v>295.77714285714285</v>
      </c>
      <c r="Q288" s="419">
        <f t="shared" si="195"/>
        <v>0</v>
      </c>
      <c r="R288" s="101"/>
      <c r="S288" s="390">
        <f t="shared" si="196"/>
        <v>2070.44</v>
      </c>
      <c r="T288" s="19">
        <f t="shared" si="197"/>
        <v>2070.44</v>
      </c>
      <c r="U288" s="19">
        <f t="shared" si="198"/>
        <v>0</v>
      </c>
    </row>
    <row r="289" spans="2:21">
      <c r="D289" s="15">
        <v>100</v>
      </c>
      <c r="E289" s="15" t="s">
        <v>211</v>
      </c>
      <c r="F289" s="15">
        <v>2012</v>
      </c>
      <c r="G289" s="364">
        <v>1</v>
      </c>
      <c r="H289" s="386">
        <v>0</v>
      </c>
      <c r="I289" s="387" t="s">
        <v>86</v>
      </c>
      <c r="J289" s="364">
        <v>7</v>
      </c>
      <c r="K289" s="388">
        <f t="shared" si="191"/>
        <v>2019</v>
      </c>
      <c r="L289" s="21">
        <f t="shared" si="184"/>
        <v>2019.0833333333333</v>
      </c>
      <c r="M289" s="365">
        <f>1805+265.44</f>
        <v>2070.44</v>
      </c>
      <c r="N289" s="366">
        <f t="shared" si="192"/>
        <v>2070.44</v>
      </c>
      <c r="O289" s="366">
        <f t="shared" si="193"/>
        <v>24.648095238095237</v>
      </c>
      <c r="P289" s="19">
        <f t="shared" si="194"/>
        <v>295.77714285714285</v>
      </c>
      <c r="Q289" s="419">
        <f t="shared" si="195"/>
        <v>0</v>
      </c>
      <c r="R289" s="101"/>
      <c r="S289" s="390">
        <f t="shared" si="196"/>
        <v>2070.44</v>
      </c>
      <c r="T289" s="19">
        <f t="shared" si="197"/>
        <v>2070.44</v>
      </c>
      <c r="U289" s="19">
        <f t="shared" si="198"/>
        <v>0</v>
      </c>
    </row>
    <row r="290" spans="2:21">
      <c r="B290" s="15">
        <v>93745</v>
      </c>
      <c r="D290" s="15">
        <v>100</v>
      </c>
      <c r="E290" s="15" t="s">
        <v>212</v>
      </c>
      <c r="F290" s="15">
        <v>2012</v>
      </c>
      <c r="G290" s="364">
        <v>5</v>
      </c>
      <c r="H290" s="386">
        <v>0</v>
      </c>
      <c r="I290" s="387" t="s">
        <v>86</v>
      </c>
      <c r="J290" s="364">
        <v>7</v>
      </c>
      <c r="K290" s="388">
        <f t="shared" si="191"/>
        <v>2019</v>
      </c>
      <c r="L290" s="21">
        <f t="shared" si="184"/>
        <v>2019.4166666666667</v>
      </c>
      <c r="M290" s="365">
        <v>5555.5</v>
      </c>
      <c r="N290" s="366">
        <f t="shared" si="192"/>
        <v>5555.5</v>
      </c>
      <c r="O290" s="366">
        <f t="shared" si="193"/>
        <v>66.136904761904759</v>
      </c>
      <c r="P290" s="19">
        <f t="shared" si="194"/>
        <v>793.64285714285711</v>
      </c>
      <c r="Q290" s="419">
        <f t="shared" si="195"/>
        <v>0</v>
      </c>
      <c r="R290" s="101"/>
      <c r="S290" s="390">
        <f t="shared" si="196"/>
        <v>5555.5</v>
      </c>
      <c r="T290" s="19">
        <f t="shared" si="197"/>
        <v>5555.5</v>
      </c>
      <c r="U290" s="19">
        <f t="shared" si="198"/>
        <v>0</v>
      </c>
    </row>
    <row r="291" spans="2:21">
      <c r="B291" s="15">
        <v>94098</v>
      </c>
      <c r="D291" s="15">
        <v>300</v>
      </c>
      <c r="E291" s="15" t="s">
        <v>213</v>
      </c>
      <c r="F291" s="15">
        <v>2012</v>
      </c>
      <c r="G291" s="364">
        <v>5</v>
      </c>
      <c r="H291" s="386">
        <v>0</v>
      </c>
      <c r="I291" s="387" t="s">
        <v>86</v>
      </c>
      <c r="J291" s="364">
        <v>7</v>
      </c>
      <c r="K291" s="388">
        <f t="shared" si="191"/>
        <v>2019</v>
      </c>
      <c r="L291" s="21">
        <f t="shared" si="184"/>
        <v>2019.4166666666667</v>
      </c>
      <c r="M291" s="365">
        <v>11143.49</v>
      </c>
      <c r="N291" s="366">
        <f t="shared" si="192"/>
        <v>11143.49</v>
      </c>
      <c r="O291" s="366">
        <f t="shared" si="193"/>
        <v>132.66059523809523</v>
      </c>
      <c r="P291" s="19">
        <f t="shared" si="194"/>
        <v>1591.9271428571428</v>
      </c>
      <c r="Q291" s="419">
        <f t="shared" si="195"/>
        <v>0</v>
      </c>
      <c r="R291" s="101"/>
      <c r="S291" s="390">
        <f t="shared" si="196"/>
        <v>11143.49</v>
      </c>
      <c r="T291" s="19">
        <f t="shared" si="197"/>
        <v>11143.49</v>
      </c>
      <c r="U291" s="19">
        <f t="shared" si="198"/>
        <v>0</v>
      </c>
    </row>
    <row r="292" spans="2:21">
      <c r="B292" s="15">
        <v>94099</v>
      </c>
      <c r="D292" s="15">
        <v>12</v>
      </c>
      <c r="E292" s="15" t="s">
        <v>288</v>
      </c>
      <c r="F292" s="15">
        <v>2012</v>
      </c>
      <c r="G292" s="364">
        <v>5</v>
      </c>
      <c r="H292" s="386">
        <v>0</v>
      </c>
      <c r="I292" s="387" t="s">
        <v>86</v>
      </c>
      <c r="J292" s="364">
        <v>7</v>
      </c>
      <c r="K292" s="388">
        <f t="shared" si="191"/>
        <v>2019</v>
      </c>
      <c r="L292" s="21">
        <f t="shared" si="184"/>
        <v>2019.4166666666667</v>
      </c>
      <c r="M292" s="365">
        <v>432.98</v>
      </c>
      <c r="N292" s="366">
        <f t="shared" si="192"/>
        <v>432.98</v>
      </c>
      <c r="O292" s="366">
        <f t="shared" si="193"/>
        <v>5.15452380952381</v>
      </c>
      <c r="P292" s="19">
        <f t="shared" si="194"/>
        <v>61.854285714285723</v>
      </c>
      <c r="Q292" s="419">
        <f t="shared" si="195"/>
        <v>0</v>
      </c>
      <c r="R292" s="101"/>
      <c r="S292" s="390">
        <f t="shared" si="196"/>
        <v>432.98</v>
      </c>
      <c r="T292" s="19">
        <f t="shared" si="197"/>
        <v>432.98</v>
      </c>
      <c r="U292" s="19">
        <f t="shared" si="198"/>
        <v>0</v>
      </c>
    </row>
    <row r="293" spans="2:21">
      <c r="B293" s="15">
        <v>105015</v>
      </c>
      <c r="D293" s="15">
        <v>100</v>
      </c>
      <c r="E293" s="15" t="s">
        <v>297</v>
      </c>
      <c r="F293" s="15">
        <v>2013</v>
      </c>
      <c r="G293" s="364">
        <v>6</v>
      </c>
      <c r="H293" s="386">
        <v>0</v>
      </c>
      <c r="I293" s="387" t="s">
        <v>86</v>
      </c>
      <c r="J293" s="364">
        <v>7</v>
      </c>
      <c r="K293" s="388">
        <f t="shared" si="191"/>
        <v>2020</v>
      </c>
      <c r="L293" s="21">
        <f t="shared" si="184"/>
        <v>2020.5</v>
      </c>
      <c r="M293" s="365">
        <v>7094.89</v>
      </c>
      <c r="N293" s="366">
        <f t="shared" si="192"/>
        <v>7094.89</v>
      </c>
      <c r="O293" s="366">
        <f t="shared" si="193"/>
        <v>84.462976190476198</v>
      </c>
      <c r="P293" s="19">
        <f t="shared" si="194"/>
        <v>1013.5557142857144</v>
      </c>
      <c r="Q293" s="419">
        <f t="shared" si="195"/>
        <v>0</v>
      </c>
      <c r="R293" s="101"/>
      <c r="S293" s="390">
        <f t="shared" si="196"/>
        <v>7094.89</v>
      </c>
      <c r="T293" s="19">
        <f t="shared" si="197"/>
        <v>7094.89</v>
      </c>
      <c r="U293" s="19">
        <f t="shared" si="198"/>
        <v>0</v>
      </c>
    </row>
    <row r="294" spans="2:21">
      <c r="B294" s="15">
        <v>109631</v>
      </c>
      <c r="D294" s="15">
        <v>30</v>
      </c>
      <c r="E294" s="15" t="s">
        <v>308</v>
      </c>
      <c r="F294" s="15">
        <v>2013</v>
      </c>
      <c r="G294" s="364">
        <v>6</v>
      </c>
      <c r="H294" s="386">
        <v>0</v>
      </c>
      <c r="I294" s="387" t="s">
        <v>86</v>
      </c>
      <c r="J294" s="364">
        <v>7</v>
      </c>
      <c r="K294" s="388">
        <f t="shared" si="191"/>
        <v>2020</v>
      </c>
      <c r="L294" s="21">
        <f t="shared" si="184"/>
        <v>2020.5</v>
      </c>
      <c r="M294" s="365">
        <v>1416.9</v>
      </c>
      <c r="N294" s="366">
        <f t="shared" si="192"/>
        <v>1416.9</v>
      </c>
      <c r="O294" s="366">
        <f t="shared" si="193"/>
        <v>16.867857142857144</v>
      </c>
      <c r="P294" s="19">
        <f t="shared" si="194"/>
        <v>202.41428571428571</v>
      </c>
      <c r="Q294" s="419">
        <f t="shared" si="195"/>
        <v>0</v>
      </c>
      <c r="R294" s="101"/>
      <c r="S294" s="390">
        <f t="shared" si="196"/>
        <v>1416.9</v>
      </c>
      <c r="T294" s="19">
        <f t="shared" si="197"/>
        <v>1416.9</v>
      </c>
      <c r="U294" s="19">
        <f t="shared" si="198"/>
        <v>0</v>
      </c>
    </row>
    <row r="295" spans="2:21">
      <c r="B295" s="15">
        <v>109629</v>
      </c>
      <c r="D295" s="15">
        <v>100</v>
      </c>
      <c r="E295" s="15" t="s">
        <v>309</v>
      </c>
      <c r="F295" s="15">
        <v>2013</v>
      </c>
      <c r="G295" s="364">
        <v>6</v>
      </c>
      <c r="H295" s="386">
        <v>0</v>
      </c>
      <c r="I295" s="387" t="s">
        <v>86</v>
      </c>
      <c r="J295" s="364">
        <v>7</v>
      </c>
      <c r="K295" s="388">
        <f t="shared" si="191"/>
        <v>2020</v>
      </c>
      <c r="L295" s="21">
        <f t="shared" si="184"/>
        <v>2020.5</v>
      </c>
      <c r="M295" s="365">
        <v>3273.45</v>
      </c>
      <c r="N295" s="366">
        <f t="shared" si="192"/>
        <v>3273.45</v>
      </c>
      <c r="O295" s="366">
        <f t="shared" si="193"/>
        <v>38.969642857142851</v>
      </c>
      <c r="P295" s="19">
        <f t="shared" si="194"/>
        <v>467.63571428571424</v>
      </c>
      <c r="Q295" s="419">
        <f t="shared" si="195"/>
        <v>0</v>
      </c>
      <c r="R295" s="101"/>
      <c r="S295" s="390">
        <f t="shared" si="196"/>
        <v>3273.45</v>
      </c>
      <c r="T295" s="19">
        <f t="shared" si="197"/>
        <v>3273.45</v>
      </c>
      <c r="U295" s="19">
        <f t="shared" si="198"/>
        <v>0</v>
      </c>
    </row>
    <row r="296" spans="2:21">
      <c r="B296" s="15">
        <v>113496</v>
      </c>
      <c r="D296" s="15">
        <v>100</v>
      </c>
      <c r="E296" s="15" t="s">
        <v>207</v>
      </c>
      <c r="F296" s="15">
        <v>2014</v>
      </c>
      <c r="G296" s="364">
        <v>6</v>
      </c>
      <c r="H296" s="386">
        <v>0</v>
      </c>
      <c r="I296" s="387" t="s">
        <v>86</v>
      </c>
      <c r="J296" s="364">
        <v>7</v>
      </c>
      <c r="K296" s="388">
        <f t="shared" si="191"/>
        <v>2021</v>
      </c>
      <c r="L296" s="21">
        <f t="shared" si="184"/>
        <v>2021.5</v>
      </c>
      <c r="M296" s="365">
        <v>6630.44</v>
      </c>
      <c r="N296" s="366">
        <f t="shared" si="192"/>
        <v>6630.44</v>
      </c>
      <c r="O296" s="366">
        <f t="shared" si="193"/>
        <v>78.933809523809515</v>
      </c>
      <c r="P296" s="19">
        <f t="shared" si="194"/>
        <v>947.20571428571418</v>
      </c>
      <c r="Q296" s="419">
        <f t="shared" si="195"/>
        <v>0</v>
      </c>
      <c r="R296" s="101"/>
      <c r="S296" s="390">
        <f t="shared" si="196"/>
        <v>6630.44</v>
      </c>
      <c r="T296" s="19">
        <f t="shared" si="197"/>
        <v>6630.44</v>
      </c>
      <c r="U296" s="19">
        <f t="shared" si="198"/>
        <v>0</v>
      </c>
    </row>
    <row r="297" spans="2:21">
      <c r="B297" s="15">
        <v>113495</v>
      </c>
      <c r="D297" s="15">
        <v>350</v>
      </c>
      <c r="E297" s="15" t="s">
        <v>206</v>
      </c>
      <c r="F297" s="15">
        <v>2014</v>
      </c>
      <c r="G297" s="364">
        <v>5</v>
      </c>
      <c r="H297" s="386">
        <v>0</v>
      </c>
      <c r="I297" s="387" t="s">
        <v>86</v>
      </c>
      <c r="J297" s="364">
        <v>7</v>
      </c>
      <c r="K297" s="388">
        <f t="shared" si="191"/>
        <v>2021</v>
      </c>
      <c r="L297" s="21">
        <f t="shared" si="184"/>
        <v>2021.4166666666667</v>
      </c>
      <c r="M297" s="365">
        <v>14838.46</v>
      </c>
      <c r="N297" s="366">
        <f t="shared" si="192"/>
        <v>14838.46</v>
      </c>
      <c r="O297" s="366">
        <f t="shared" si="193"/>
        <v>176.64833333333331</v>
      </c>
      <c r="P297" s="19">
        <f t="shared" si="194"/>
        <v>2119.7799999999997</v>
      </c>
      <c r="Q297" s="419">
        <f t="shared" si="195"/>
        <v>0</v>
      </c>
      <c r="R297" s="101"/>
      <c r="S297" s="390">
        <f t="shared" si="196"/>
        <v>14838.46</v>
      </c>
      <c r="T297" s="19">
        <f t="shared" si="197"/>
        <v>14838.46</v>
      </c>
      <c r="U297" s="19">
        <f t="shared" si="198"/>
        <v>0</v>
      </c>
    </row>
    <row r="298" spans="2:21">
      <c r="B298" s="15">
        <v>121038</v>
      </c>
      <c r="D298" s="15">
        <v>300</v>
      </c>
      <c r="E298" s="15" t="s">
        <v>207</v>
      </c>
      <c r="F298" s="15">
        <v>2015</v>
      </c>
      <c r="G298" s="364">
        <v>3</v>
      </c>
      <c r="H298" s="386">
        <v>0</v>
      </c>
      <c r="I298" s="387" t="s">
        <v>86</v>
      </c>
      <c r="J298" s="364">
        <v>7</v>
      </c>
      <c r="K298" s="388">
        <f t="shared" si="191"/>
        <v>2022</v>
      </c>
      <c r="L298" s="21">
        <f t="shared" si="184"/>
        <v>2022.25</v>
      </c>
      <c r="M298" s="365">
        <v>14206.55</v>
      </c>
      <c r="N298" s="366">
        <f t="shared" si="192"/>
        <v>14206.55</v>
      </c>
      <c r="O298" s="366">
        <f t="shared" si="193"/>
        <v>169.12559523809523</v>
      </c>
      <c r="P298" s="19">
        <f t="shared" si="194"/>
        <v>2029.5071428571428</v>
      </c>
      <c r="Q298" s="419">
        <f t="shared" si="195"/>
        <v>0</v>
      </c>
      <c r="R298" s="101"/>
      <c r="S298" s="390">
        <f t="shared" si="196"/>
        <v>14206.55</v>
      </c>
      <c r="T298" s="19">
        <f t="shared" si="197"/>
        <v>14206.55</v>
      </c>
      <c r="U298" s="19">
        <f t="shared" si="198"/>
        <v>0</v>
      </c>
    </row>
    <row r="299" spans="2:21">
      <c r="B299" s="15" t="s">
        <v>327</v>
      </c>
      <c r="D299" s="15">
        <f>760+840</f>
        <v>1600</v>
      </c>
      <c r="E299" s="15" t="s">
        <v>206</v>
      </c>
      <c r="F299" s="15">
        <v>2015</v>
      </c>
      <c r="G299" s="364">
        <v>6</v>
      </c>
      <c r="H299" s="386">
        <v>0</v>
      </c>
      <c r="I299" s="387" t="s">
        <v>86</v>
      </c>
      <c r="J299" s="364">
        <v>7</v>
      </c>
      <c r="K299" s="388">
        <f t="shared" si="191"/>
        <v>2022</v>
      </c>
      <c r="L299" s="21">
        <f t="shared" si="184"/>
        <v>2022.5</v>
      </c>
      <c r="M299" s="365">
        <f>30987.6+28036.4</f>
        <v>59024</v>
      </c>
      <c r="N299" s="366">
        <f t="shared" si="192"/>
        <v>59024</v>
      </c>
      <c r="O299" s="366">
        <f t="shared" si="193"/>
        <v>702.66666666666663</v>
      </c>
      <c r="P299" s="19">
        <f t="shared" si="194"/>
        <v>8432</v>
      </c>
      <c r="Q299" s="419">
        <f t="shared" si="195"/>
        <v>0</v>
      </c>
      <c r="R299" s="101"/>
      <c r="S299" s="390">
        <f t="shared" si="196"/>
        <v>59024</v>
      </c>
      <c r="T299" s="19">
        <f t="shared" si="197"/>
        <v>59024</v>
      </c>
      <c r="U299" s="19">
        <f t="shared" si="198"/>
        <v>0</v>
      </c>
    </row>
    <row r="300" spans="2:21">
      <c r="B300" s="15">
        <v>123451</v>
      </c>
      <c r="D300" s="15">
        <v>40</v>
      </c>
      <c r="E300" s="15" t="s">
        <v>209</v>
      </c>
      <c r="F300" s="15">
        <v>2015</v>
      </c>
      <c r="G300" s="364">
        <v>6</v>
      </c>
      <c r="H300" s="386">
        <v>0</v>
      </c>
      <c r="I300" s="387" t="s">
        <v>86</v>
      </c>
      <c r="J300" s="364">
        <v>7</v>
      </c>
      <c r="K300" s="388">
        <f t="shared" si="191"/>
        <v>2022</v>
      </c>
      <c r="L300" s="21">
        <f t="shared" si="184"/>
        <v>2022.5</v>
      </c>
      <c r="M300" s="365">
        <v>2781.94</v>
      </c>
      <c r="N300" s="366">
        <f t="shared" si="192"/>
        <v>2781.94</v>
      </c>
      <c r="O300" s="366">
        <f t="shared" si="193"/>
        <v>33.118333333333332</v>
      </c>
      <c r="P300" s="19">
        <f t="shared" si="194"/>
        <v>397.41999999999996</v>
      </c>
      <c r="Q300" s="419">
        <f t="shared" si="195"/>
        <v>0</v>
      </c>
      <c r="R300" s="101"/>
      <c r="S300" s="390">
        <f t="shared" si="196"/>
        <v>2781.94</v>
      </c>
      <c r="T300" s="19">
        <f t="shared" si="197"/>
        <v>2781.94</v>
      </c>
      <c r="U300" s="19">
        <f t="shared" si="198"/>
        <v>0</v>
      </c>
    </row>
    <row r="301" spans="2:21">
      <c r="B301" s="15">
        <v>123452</v>
      </c>
      <c r="D301" s="15">
        <v>200</v>
      </c>
      <c r="E301" s="15" t="s">
        <v>208</v>
      </c>
      <c r="F301" s="15">
        <v>2015</v>
      </c>
      <c r="G301" s="364">
        <v>6</v>
      </c>
      <c r="H301" s="386">
        <v>0</v>
      </c>
      <c r="I301" s="387" t="s">
        <v>86</v>
      </c>
      <c r="J301" s="364">
        <v>7</v>
      </c>
      <c r="K301" s="388">
        <f t="shared" si="191"/>
        <v>2022</v>
      </c>
      <c r="L301" s="21">
        <f t="shared" si="184"/>
        <v>2022.5</v>
      </c>
      <c r="M301" s="365">
        <v>12716.2</v>
      </c>
      <c r="N301" s="366">
        <f t="shared" si="192"/>
        <v>12716.2</v>
      </c>
      <c r="O301" s="366">
        <f t="shared" si="193"/>
        <v>151.38333333333335</v>
      </c>
      <c r="P301" s="19">
        <f t="shared" si="194"/>
        <v>1816.6000000000004</v>
      </c>
      <c r="Q301" s="419">
        <f t="shared" si="195"/>
        <v>0</v>
      </c>
      <c r="R301" s="101"/>
      <c r="S301" s="390">
        <f t="shared" si="196"/>
        <v>12716.2</v>
      </c>
      <c r="T301" s="19">
        <f t="shared" si="197"/>
        <v>12716.2</v>
      </c>
      <c r="U301" s="19">
        <f t="shared" si="198"/>
        <v>0</v>
      </c>
    </row>
    <row r="302" spans="2:21">
      <c r="B302" s="15">
        <v>123453</v>
      </c>
      <c r="D302" s="15">
        <v>10</v>
      </c>
      <c r="E302" s="15" t="s">
        <v>328</v>
      </c>
      <c r="F302" s="15">
        <v>2015</v>
      </c>
      <c r="G302" s="364">
        <v>6</v>
      </c>
      <c r="H302" s="386">
        <v>0</v>
      </c>
      <c r="I302" s="387" t="s">
        <v>86</v>
      </c>
      <c r="J302" s="364">
        <v>7</v>
      </c>
      <c r="K302" s="388">
        <f t="shared" si="191"/>
        <v>2022</v>
      </c>
      <c r="L302" s="21">
        <f t="shared" si="184"/>
        <v>2022.5</v>
      </c>
      <c r="M302" s="365">
        <v>554.44000000000005</v>
      </c>
      <c r="N302" s="366">
        <f t="shared" si="192"/>
        <v>554.44000000000005</v>
      </c>
      <c r="O302" s="366">
        <f t="shared" si="193"/>
        <v>6.6004761904761908</v>
      </c>
      <c r="P302" s="19">
        <f t="shared" si="194"/>
        <v>79.205714285714294</v>
      </c>
      <c r="Q302" s="419">
        <f t="shared" si="195"/>
        <v>0</v>
      </c>
      <c r="R302" s="101"/>
      <c r="S302" s="390">
        <f t="shared" si="196"/>
        <v>554.44000000000005</v>
      </c>
      <c r="T302" s="19">
        <f t="shared" si="197"/>
        <v>554.44000000000005</v>
      </c>
      <c r="U302" s="19">
        <f t="shared" si="198"/>
        <v>0</v>
      </c>
    </row>
    <row r="303" spans="2:21">
      <c r="B303" s="15">
        <v>132254</v>
      </c>
      <c r="D303" s="15">
        <v>325</v>
      </c>
      <c r="E303" s="15" t="s">
        <v>206</v>
      </c>
      <c r="F303" s="15">
        <v>2016</v>
      </c>
      <c r="G303" s="364">
        <v>1</v>
      </c>
      <c r="H303" s="386">
        <v>0</v>
      </c>
      <c r="I303" s="387" t="s">
        <v>86</v>
      </c>
      <c r="J303" s="364">
        <v>7</v>
      </c>
      <c r="K303" s="388">
        <f t="shared" si="191"/>
        <v>2023</v>
      </c>
      <c r="L303" s="21">
        <f t="shared" si="184"/>
        <v>2023.0833333333333</v>
      </c>
      <c r="M303" s="365">
        <v>12825.47</v>
      </c>
      <c r="N303" s="366">
        <f t="shared" si="192"/>
        <v>12825.47</v>
      </c>
      <c r="O303" s="366">
        <f t="shared" si="193"/>
        <v>152.68416666666664</v>
      </c>
      <c r="P303" s="19">
        <f t="shared" si="194"/>
        <v>1832.2099999999996</v>
      </c>
      <c r="Q303" s="419">
        <f t="shared" si="195"/>
        <v>0</v>
      </c>
      <c r="R303" s="101"/>
      <c r="S303" s="390">
        <f t="shared" si="196"/>
        <v>12825.47</v>
      </c>
      <c r="T303" s="19">
        <f t="shared" si="197"/>
        <v>12825.47</v>
      </c>
      <c r="U303" s="19">
        <f t="shared" si="198"/>
        <v>0</v>
      </c>
    </row>
    <row r="304" spans="2:21">
      <c r="B304" s="15">
        <v>132253</v>
      </c>
      <c r="D304" s="15">
        <v>94</v>
      </c>
      <c r="E304" s="15" t="s">
        <v>207</v>
      </c>
      <c r="F304" s="15">
        <v>2016</v>
      </c>
      <c r="G304" s="364">
        <v>1</v>
      </c>
      <c r="H304" s="386">
        <v>0</v>
      </c>
      <c r="I304" s="387" t="s">
        <v>86</v>
      </c>
      <c r="J304" s="364">
        <v>7</v>
      </c>
      <c r="K304" s="388">
        <f t="shared" si="191"/>
        <v>2023</v>
      </c>
      <c r="L304" s="21">
        <f t="shared" si="184"/>
        <v>2023.0833333333333</v>
      </c>
      <c r="M304" s="365">
        <v>4226.53</v>
      </c>
      <c r="N304" s="366">
        <f t="shared" si="192"/>
        <v>4226.53</v>
      </c>
      <c r="O304" s="366">
        <f t="shared" si="193"/>
        <v>50.31583333333333</v>
      </c>
      <c r="P304" s="19">
        <f t="shared" si="194"/>
        <v>603.79</v>
      </c>
      <c r="Q304" s="419">
        <f t="shared" si="195"/>
        <v>0</v>
      </c>
      <c r="R304" s="101"/>
      <c r="S304" s="390">
        <f t="shared" si="196"/>
        <v>4226.53</v>
      </c>
      <c r="T304" s="19">
        <f t="shared" si="197"/>
        <v>4226.53</v>
      </c>
      <c r="U304" s="19">
        <f t="shared" si="198"/>
        <v>0</v>
      </c>
    </row>
    <row r="305" spans="2:21">
      <c r="B305" s="15">
        <v>132252</v>
      </c>
      <c r="D305" s="15">
        <v>56</v>
      </c>
      <c r="E305" s="15" t="s">
        <v>207</v>
      </c>
      <c r="F305" s="15">
        <v>2016</v>
      </c>
      <c r="G305" s="364">
        <v>2</v>
      </c>
      <c r="H305" s="386">
        <v>0</v>
      </c>
      <c r="I305" s="387" t="s">
        <v>86</v>
      </c>
      <c r="J305" s="364">
        <v>7</v>
      </c>
      <c r="K305" s="388">
        <f t="shared" si="191"/>
        <v>2023</v>
      </c>
      <c r="L305" s="21">
        <f t="shared" si="184"/>
        <v>2023.1666666666667</v>
      </c>
      <c r="M305" s="365">
        <v>2546.0500000000002</v>
      </c>
      <c r="N305" s="366">
        <f t="shared" si="192"/>
        <v>2546.0500000000002</v>
      </c>
      <c r="O305" s="366">
        <f t="shared" si="193"/>
        <v>30.31011904761905</v>
      </c>
      <c r="P305" s="19">
        <f t="shared" si="194"/>
        <v>363.72142857142859</v>
      </c>
      <c r="Q305" s="419">
        <f t="shared" si="195"/>
        <v>0</v>
      </c>
      <c r="R305" s="101"/>
      <c r="S305" s="390">
        <f t="shared" si="196"/>
        <v>2546.0500000000002</v>
      </c>
      <c r="T305" s="19">
        <f t="shared" si="197"/>
        <v>2546.0500000000002</v>
      </c>
      <c r="U305" s="19">
        <f t="shared" si="198"/>
        <v>0</v>
      </c>
    </row>
    <row r="306" spans="2:21">
      <c r="B306" s="15">
        <v>132251</v>
      </c>
      <c r="D306" s="15">
        <v>150</v>
      </c>
      <c r="E306" s="15" t="s">
        <v>208</v>
      </c>
      <c r="F306" s="15">
        <v>2016</v>
      </c>
      <c r="G306" s="364">
        <v>2</v>
      </c>
      <c r="H306" s="386">
        <v>0</v>
      </c>
      <c r="I306" s="387" t="s">
        <v>86</v>
      </c>
      <c r="J306" s="364">
        <v>7</v>
      </c>
      <c r="K306" s="388">
        <f t="shared" si="191"/>
        <v>2023</v>
      </c>
      <c r="L306" s="21">
        <f t="shared" si="184"/>
        <v>2023.1666666666667</v>
      </c>
      <c r="M306" s="365">
        <v>7138.2</v>
      </c>
      <c r="N306" s="366">
        <f t="shared" si="192"/>
        <v>7138.2</v>
      </c>
      <c r="O306" s="366">
        <f t="shared" si="193"/>
        <v>84.978571428571428</v>
      </c>
      <c r="P306" s="19">
        <f t="shared" si="194"/>
        <v>1019.7428571428571</v>
      </c>
      <c r="Q306" s="419">
        <f t="shared" si="195"/>
        <v>0</v>
      </c>
      <c r="R306" s="101"/>
      <c r="S306" s="390">
        <f t="shared" si="196"/>
        <v>7138.2</v>
      </c>
      <c r="T306" s="19">
        <f t="shared" si="197"/>
        <v>7138.2</v>
      </c>
      <c r="U306" s="19">
        <f t="shared" si="198"/>
        <v>0</v>
      </c>
    </row>
    <row r="307" spans="2:21">
      <c r="B307" s="15">
        <v>132250</v>
      </c>
      <c r="D307" s="15">
        <v>150</v>
      </c>
      <c r="E307" s="15" t="s">
        <v>209</v>
      </c>
      <c r="F307" s="15">
        <v>2016</v>
      </c>
      <c r="G307" s="364">
        <v>2</v>
      </c>
      <c r="H307" s="386">
        <v>0</v>
      </c>
      <c r="I307" s="387" t="s">
        <v>86</v>
      </c>
      <c r="J307" s="364">
        <v>7</v>
      </c>
      <c r="K307" s="388">
        <f t="shared" si="191"/>
        <v>2023</v>
      </c>
      <c r="L307" s="21">
        <f t="shared" si="184"/>
        <v>2023.1666666666667</v>
      </c>
      <c r="M307" s="365">
        <v>8095.75</v>
      </c>
      <c r="N307" s="366">
        <f t="shared" si="192"/>
        <v>8095.75</v>
      </c>
      <c r="O307" s="366">
        <f t="shared" si="193"/>
        <v>96.37797619047619</v>
      </c>
      <c r="P307" s="19">
        <f t="shared" si="194"/>
        <v>1156.5357142857142</v>
      </c>
      <c r="Q307" s="419">
        <f t="shared" si="195"/>
        <v>0</v>
      </c>
      <c r="R307" s="101"/>
      <c r="S307" s="390">
        <f t="shared" si="196"/>
        <v>8095.75</v>
      </c>
      <c r="T307" s="19">
        <f t="shared" si="197"/>
        <v>8095.75</v>
      </c>
      <c r="U307" s="19">
        <f t="shared" si="198"/>
        <v>0</v>
      </c>
    </row>
    <row r="308" spans="2:21">
      <c r="B308" s="15">
        <v>169569</v>
      </c>
      <c r="D308" s="15">
        <v>377</v>
      </c>
      <c r="E308" s="15" t="s">
        <v>208</v>
      </c>
      <c r="F308" s="15">
        <v>2016</v>
      </c>
      <c r="G308" s="364">
        <v>11</v>
      </c>
      <c r="H308" s="386">
        <v>0</v>
      </c>
      <c r="I308" s="387" t="s">
        <v>86</v>
      </c>
      <c r="J308" s="364">
        <v>7</v>
      </c>
      <c r="K308" s="388">
        <f t="shared" si="191"/>
        <v>2023</v>
      </c>
      <c r="L308" s="21">
        <f t="shared" si="184"/>
        <v>2023.9166666666667</v>
      </c>
      <c r="M308" s="365">
        <v>17324.77</v>
      </c>
      <c r="N308" s="366">
        <f t="shared" si="192"/>
        <v>17324.77</v>
      </c>
      <c r="O308" s="366">
        <f t="shared" si="193"/>
        <v>206.2472619047619</v>
      </c>
      <c r="P308" s="19">
        <f t="shared" si="194"/>
        <v>2474.9671428571428</v>
      </c>
      <c r="Q308" s="419">
        <f t="shared" si="195"/>
        <v>0</v>
      </c>
      <c r="R308" s="101"/>
      <c r="S308" s="390">
        <f t="shared" si="196"/>
        <v>15674.791904761718</v>
      </c>
      <c r="T308" s="19">
        <f t="shared" si="197"/>
        <v>17324.77</v>
      </c>
      <c r="U308" s="19">
        <f t="shared" si="198"/>
        <v>0</v>
      </c>
    </row>
    <row r="309" spans="2:21">
      <c r="B309" s="15">
        <v>169570</v>
      </c>
      <c r="D309" s="15">
        <v>100</v>
      </c>
      <c r="E309" s="15" t="s">
        <v>209</v>
      </c>
      <c r="F309" s="15">
        <v>2016</v>
      </c>
      <c r="G309" s="364">
        <v>11</v>
      </c>
      <c r="H309" s="386">
        <v>0</v>
      </c>
      <c r="I309" s="387" t="s">
        <v>86</v>
      </c>
      <c r="J309" s="364">
        <v>7</v>
      </c>
      <c r="K309" s="388">
        <f t="shared" si="191"/>
        <v>2023</v>
      </c>
      <c r="L309" s="21">
        <f t="shared" si="184"/>
        <v>2023.9166666666667</v>
      </c>
      <c r="M309" s="365">
        <v>5219.6400000000003</v>
      </c>
      <c r="N309" s="366">
        <f t="shared" si="192"/>
        <v>5219.6400000000003</v>
      </c>
      <c r="O309" s="366">
        <f t="shared" si="193"/>
        <v>62.138571428571431</v>
      </c>
      <c r="P309" s="19">
        <f t="shared" si="194"/>
        <v>745.66285714285721</v>
      </c>
      <c r="Q309" s="419">
        <f t="shared" si="195"/>
        <v>0</v>
      </c>
      <c r="R309" s="101"/>
      <c r="S309" s="390">
        <f t="shared" si="196"/>
        <v>4722.5314285713721</v>
      </c>
      <c r="T309" s="19">
        <f t="shared" si="197"/>
        <v>5219.6400000000003</v>
      </c>
      <c r="U309" s="19">
        <f t="shared" si="198"/>
        <v>0</v>
      </c>
    </row>
    <row r="310" spans="2:21">
      <c r="B310" s="15">
        <v>169571</v>
      </c>
      <c r="D310" s="15">
        <v>463</v>
      </c>
      <c r="E310" s="15" t="s">
        <v>207</v>
      </c>
      <c r="F310" s="15">
        <v>2016</v>
      </c>
      <c r="G310" s="364">
        <v>11</v>
      </c>
      <c r="H310" s="386">
        <v>0</v>
      </c>
      <c r="I310" s="387" t="s">
        <v>86</v>
      </c>
      <c r="J310" s="364">
        <v>7</v>
      </c>
      <c r="K310" s="388">
        <f t="shared" si="191"/>
        <v>2023</v>
      </c>
      <c r="L310" s="21">
        <f t="shared" ref="L310:L416" si="199">+K310+(G310/12)</f>
        <v>2023.9166666666667</v>
      </c>
      <c r="M310" s="365">
        <v>20560.86</v>
      </c>
      <c r="N310" s="366">
        <f t="shared" si="192"/>
        <v>20560.86</v>
      </c>
      <c r="O310" s="366">
        <f t="shared" si="193"/>
        <v>244.77214285714285</v>
      </c>
      <c r="P310" s="19">
        <f t="shared" si="194"/>
        <v>2937.2657142857142</v>
      </c>
      <c r="Q310" s="419">
        <f t="shared" si="195"/>
        <v>0</v>
      </c>
      <c r="R310" s="101"/>
      <c r="S310" s="390">
        <f t="shared" si="196"/>
        <v>18602.682857142634</v>
      </c>
      <c r="T310" s="19">
        <f t="shared" si="197"/>
        <v>20560.86</v>
      </c>
      <c r="U310" s="19">
        <f t="shared" si="198"/>
        <v>0</v>
      </c>
    </row>
    <row r="311" spans="2:21">
      <c r="B311" s="15">
        <v>169572</v>
      </c>
      <c r="D311" s="15">
        <v>10</v>
      </c>
      <c r="E311" s="15" t="s">
        <v>350</v>
      </c>
      <c r="F311" s="15">
        <v>2016</v>
      </c>
      <c r="G311" s="364">
        <v>11</v>
      </c>
      <c r="H311" s="386">
        <v>0</v>
      </c>
      <c r="I311" s="387" t="s">
        <v>86</v>
      </c>
      <c r="J311" s="364">
        <v>7</v>
      </c>
      <c r="K311" s="388">
        <f t="shared" si="191"/>
        <v>2023</v>
      </c>
      <c r="L311" s="21">
        <f t="shared" si="199"/>
        <v>2023.9166666666667</v>
      </c>
      <c r="M311" s="365">
        <v>344.49</v>
      </c>
      <c r="N311" s="366">
        <f t="shared" si="192"/>
        <v>344.49</v>
      </c>
      <c r="O311" s="366">
        <f t="shared" si="193"/>
        <v>4.1010714285714291</v>
      </c>
      <c r="P311" s="19">
        <f t="shared" si="194"/>
        <v>49.212857142857146</v>
      </c>
      <c r="Q311" s="419">
        <f t="shared" si="195"/>
        <v>0</v>
      </c>
      <c r="R311" s="101"/>
      <c r="S311" s="390">
        <f t="shared" si="196"/>
        <v>311.68142857142482</v>
      </c>
      <c r="T311" s="19">
        <f t="shared" si="197"/>
        <v>344.49</v>
      </c>
      <c r="U311" s="19">
        <f t="shared" si="198"/>
        <v>0</v>
      </c>
    </row>
    <row r="312" spans="2:21">
      <c r="B312" s="388" t="s">
        <v>351</v>
      </c>
      <c r="D312" s="15">
        <v>1500</v>
      </c>
      <c r="E312" s="15" t="s">
        <v>206</v>
      </c>
      <c r="F312" s="15">
        <v>2016</v>
      </c>
      <c r="G312" s="364">
        <v>11</v>
      </c>
      <c r="H312" s="386">
        <v>0</v>
      </c>
      <c r="I312" s="387" t="s">
        <v>86</v>
      </c>
      <c r="J312" s="364">
        <v>7</v>
      </c>
      <c r="K312" s="388">
        <f t="shared" si="191"/>
        <v>2023</v>
      </c>
      <c r="L312" s="21">
        <f t="shared" si="199"/>
        <v>2023.9166666666667</v>
      </c>
      <c r="M312" s="365">
        <f>30402.24+28277.81</f>
        <v>58680.05</v>
      </c>
      <c r="N312" s="366">
        <f t="shared" si="192"/>
        <v>58680.05</v>
      </c>
      <c r="O312" s="366">
        <f t="shared" si="193"/>
        <v>698.57202380952378</v>
      </c>
      <c r="P312" s="19">
        <f t="shared" si="194"/>
        <v>8382.8642857142859</v>
      </c>
      <c r="Q312" s="419">
        <f t="shared" si="195"/>
        <v>0</v>
      </c>
      <c r="R312" s="101"/>
      <c r="S312" s="390">
        <f t="shared" si="196"/>
        <v>53091.473809523173</v>
      </c>
      <c r="T312" s="19">
        <f t="shared" si="197"/>
        <v>58680.05</v>
      </c>
      <c r="U312" s="19">
        <f t="shared" si="198"/>
        <v>0</v>
      </c>
    </row>
    <row r="313" spans="2:21">
      <c r="B313" s="388">
        <v>183382</v>
      </c>
      <c r="D313" s="15">
        <v>950</v>
      </c>
      <c r="E313" s="15" t="s">
        <v>375</v>
      </c>
      <c r="F313" s="15">
        <v>2017</v>
      </c>
      <c r="G313" s="364">
        <v>6</v>
      </c>
      <c r="H313" s="386">
        <v>0</v>
      </c>
      <c r="I313" s="387" t="s">
        <v>86</v>
      </c>
      <c r="J313" s="364">
        <v>7</v>
      </c>
      <c r="K313" s="388">
        <f t="shared" si="191"/>
        <v>2024</v>
      </c>
      <c r="L313" s="21">
        <f t="shared" si="199"/>
        <v>2024.5</v>
      </c>
      <c r="M313" s="365">
        <v>38121.81</v>
      </c>
      <c r="N313" s="366">
        <f t="shared" si="192"/>
        <v>38121.81</v>
      </c>
      <c r="O313" s="366">
        <f t="shared" si="193"/>
        <v>453.83107142857142</v>
      </c>
      <c r="P313" s="19">
        <f t="shared" si="194"/>
        <v>5445.9728571428568</v>
      </c>
      <c r="Q313" s="419">
        <f t="shared" si="195"/>
        <v>5445.9728571428568</v>
      </c>
      <c r="R313" s="101"/>
      <c r="S313" s="390">
        <f t="shared" si="196"/>
        <v>31314.343928571427</v>
      </c>
      <c r="T313" s="19">
        <f t="shared" si="197"/>
        <v>36760.316785714283</v>
      </c>
      <c r="U313" s="19">
        <f t="shared" si="198"/>
        <v>1361.4932142857142</v>
      </c>
    </row>
    <row r="314" spans="2:21">
      <c r="B314" s="388">
        <v>182817</v>
      </c>
      <c r="D314" s="15">
        <v>783</v>
      </c>
      <c r="E314" s="15" t="s">
        <v>377</v>
      </c>
      <c r="F314" s="15">
        <v>2017</v>
      </c>
      <c r="G314" s="364">
        <v>6</v>
      </c>
      <c r="H314" s="386">
        <v>0</v>
      </c>
      <c r="I314" s="387" t="s">
        <v>86</v>
      </c>
      <c r="J314" s="364">
        <v>7</v>
      </c>
      <c r="K314" s="388">
        <f t="shared" si="191"/>
        <v>2024</v>
      </c>
      <c r="L314" s="21">
        <f t="shared" si="199"/>
        <v>2024.5</v>
      </c>
      <c r="M314" s="365">
        <v>33739.599999999999</v>
      </c>
      <c r="N314" s="366">
        <f t="shared" si="192"/>
        <v>33739.599999999999</v>
      </c>
      <c r="O314" s="366">
        <f t="shared" si="193"/>
        <v>401.66190476190474</v>
      </c>
      <c r="P314" s="19">
        <f t="shared" si="194"/>
        <v>4819.9428571428571</v>
      </c>
      <c r="Q314" s="419">
        <f t="shared" si="195"/>
        <v>4819.9428571428571</v>
      </c>
      <c r="R314" s="101"/>
      <c r="S314" s="390">
        <f t="shared" si="196"/>
        <v>27714.671428571426</v>
      </c>
      <c r="T314" s="19">
        <f t="shared" si="197"/>
        <v>32534.614285714284</v>
      </c>
      <c r="U314" s="19">
        <f t="shared" si="198"/>
        <v>1204.9857142857145</v>
      </c>
    </row>
    <row r="315" spans="2:21">
      <c r="B315" s="388">
        <v>182816</v>
      </c>
      <c r="D315" s="15">
        <v>950</v>
      </c>
      <c r="E315" s="15" t="s">
        <v>375</v>
      </c>
      <c r="F315" s="15">
        <v>2017</v>
      </c>
      <c r="G315" s="364">
        <v>6</v>
      </c>
      <c r="H315" s="386">
        <v>0</v>
      </c>
      <c r="I315" s="387" t="s">
        <v>86</v>
      </c>
      <c r="J315" s="364">
        <v>7</v>
      </c>
      <c r="K315" s="388">
        <f t="shared" si="191"/>
        <v>2024</v>
      </c>
      <c r="L315" s="21">
        <f t="shared" si="199"/>
        <v>2024.5</v>
      </c>
      <c r="M315" s="365">
        <v>38121.81</v>
      </c>
      <c r="N315" s="366">
        <f t="shared" si="192"/>
        <v>38121.81</v>
      </c>
      <c r="O315" s="366">
        <f t="shared" si="193"/>
        <v>453.83107142857142</v>
      </c>
      <c r="P315" s="19">
        <f t="shared" si="194"/>
        <v>5445.9728571428568</v>
      </c>
      <c r="Q315" s="419">
        <f t="shared" si="195"/>
        <v>5445.9728571428568</v>
      </c>
      <c r="R315" s="101"/>
      <c r="S315" s="390">
        <f t="shared" si="196"/>
        <v>31314.343928571427</v>
      </c>
      <c r="T315" s="19">
        <f t="shared" si="197"/>
        <v>36760.316785714283</v>
      </c>
      <c r="U315" s="19">
        <f t="shared" si="198"/>
        <v>1361.4932142857142</v>
      </c>
    </row>
    <row r="316" spans="2:21">
      <c r="B316" s="388">
        <v>182596</v>
      </c>
      <c r="D316" s="15">
        <v>280</v>
      </c>
      <c r="E316" s="15" t="s">
        <v>378</v>
      </c>
      <c r="F316" s="15">
        <v>2017</v>
      </c>
      <c r="G316" s="364">
        <v>6</v>
      </c>
      <c r="H316" s="386">
        <v>0</v>
      </c>
      <c r="I316" s="387" t="s">
        <v>86</v>
      </c>
      <c r="J316" s="364">
        <v>7</v>
      </c>
      <c r="K316" s="388">
        <f t="shared" si="191"/>
        <v>2024</v>
      </c>
      <c r="L316" s="21">
        <f t="shared" si="199"/>
        <v>2024.5</v>
      </c>
      <c r="M316" s="365">
        <v>14281.93</v>
      </c>
      <c r="N316" s="366">
        <f t="shared" si="192"/>
        <v>14281.93</v>
      </c>
      <c r="O316" s="366">
        <f t="shared" si="193"/>
        <v>170.02297619047619</v>
      </c>
      <c r="P316" s="19">
        <f t="shared" si="194"/>
        <v>2040.2757142857142</v>
      </c>
      <c r="Q316" s="419">
        <f t="shared" si="195"/>
        <v>2040.2757142857142</v>
      </c>
      <c r="R316" s="101"/>
      <c r="S316" s="390">
        <f t="shared" si="196"/>
        <v>11731.585357142858</v>
      </c>
      <c r="T316" s="19">
        <f t="shared" si="197"/>
        <v>13771.861071428571</v>
      </c>
      <c r="U316" s="19">
        <f t="shared" si="198"/>
        <v>510.06892857142884</v>
      </c>
    </row>
    <row r="317" spans="2:21">
      <c r="B317" s="388">
        <v>182595</v>
      </c>
      <c r="D317" s="15">
        <v>660</v>
      </c>
      <c r="E317" s="15" t="s">
        <v>379</v>
      </c>
      <c r="F317" s="15">
        <v>2017</v>
      </c>
      <c r="G317" s="364">
        <v>6</v>
      </c>
      <c r="H317" s="386">
        <v>0</v>
      </c>
      <c r="I317" s="387" t="s">
        <v>86</v>
      </c>
      <c r="J317" s="364">
        <v>7</v>
      </c>
      <c r="K317" s="388">
        <f t="shared" si="191"/>
        <v>2024</v>
      </c>
      <c r="L317" s="21">
        <f t="shared" si="199"/>
        <v>2024.5</v>
      </c>
      <c r="M317" s="365">
        <v>29188.93</v>
      </c>
      <c r="N317" s="366">
        <f t="shared" si="192"/>
        <v>29188.93</v>
      </c>
      <c r="O317" s="366">
        <f t="shared" si="193"/>
        <v>347.48726190476191</v>
      </c>
      <c r="P317" s="19">
        <f t="shared" si="194"/>
        <v>4169.8471428571429</v>
      </c>
      <c r="Q317" s="419">
        <f t="shared" si="195"/>
        <v>4169.8471428571429</v>
      </c>
      <c r="R317" s="101"/>
      <c r="S317" s="390">
        <f t="shared" si="196"/>
        <v>23976.62107142857</v>
      </c>
      <c r="T317" s="19">
        <f t="shared" si="197"/>
        <v>28146.468214285713</v>
      </c>
      <c r="U317" s="19">
        <f t="shared" si="198"/>
        <v>1042.4617857142875</v>
      </c>
    </row>
    <row r="318" spans="2:21">
      <c r="B318" s="15">
        <v>178887</v>
      </c>
      <c r="D318" s="15">
        <v>100</v>
      </c>
      <c r="E318" s="15" t="s">
        <v>380</v>
      </c>
      <c r="F318" s="15">
        <v>2017</v>
      </c>
      <c r="G318" s="364">
        <v>3</v>
      </c>
      <c r="H318" s="23">
        <v>0</v>
      </c>
      <c r="I318" s="364" t="s">
        <v>86</v>
      </c>
      <c r="J318" s="364">
        <v>7</v>
      </c>
      <c r="K318" s="15">
        <f t="shared" si="191"/>
        <v>2024</v>
      </c>
      <c r="L318" s="21">
        <f t="shared" si="199"/>
        <v>2024.25</v>
      </c>
      <c r="M318" s="365">
        <v>5201</v>
      </c>
      <c r="N318" s="15">
        <f t="shared" si="192"/>
        <v>5201</v>
      </c>
      <c r="O318" s="366">
        <f t="shared" si="193"/>
        <v>61.916666666666664</v>
      </c>
      <c r="P318" s="19">
        <f t="shared" si="194"/>
        <v>743</v>
      </c>
      <c r="Q318" s="419">
        <f t="shared" si="195"/>
        <v>743</v>
      </c>
      <c r="R318" s="101"/>
      <c r="S318" s="390">
        <f t="shared" si="196"/>
        <v>4458</v>
      </c>
      <c r="T318" s="19">
        <f t="shared" si="197"/>
        <v>5201</v>
      </c>
      <c r="U318" s="19">
        <f t="shared" si="198"/>
        <v>0</v>
      </c>
    </row>
    <row r="319" spans="2:21">
      <c r="E319" s="431"/>
      <c r="H319" s="386"/>
      <c r="I319" s="387"/>
      <c r="K319" s="388"/>
      <c r="L319" s="21"/>
      <c r="N319" s="366"/>
      <c r="O319" s="366"/>
      <c r="P319" s="19"/>
      <c r="Q319" s="19"/>
      <c r="R319" s="366"/>
      <c r="S319" s="366"/>
      <c r="T319" s="366"/>
      <c r="U319" s="366"/>
    </row>
    <row r="320" spans="2:21">
      <c r="D320" s="16">
        <f>SUM(D277:D319)</f>
        <v>14078</v>
      </c>
      <c r="E320" s="406" t="s">
        <v>647</v>
      </c>
      <c r="F320" s="413"/>
      <c r="G320" s="414"/>
      <c r="H320" s="414"/>
      <c r="I320" s="416"/>
      <c r="J320" s="414"/>
      <c r="K320" s="417"/>
      <c r="L320" s="54"/>
      <c r="M320" s="421">
        <f t="shared" ref="M320:U320" si="200">SUM(M277:M319)</f>
        <v>606241.04913043487</v>
      </c>
      <c r="N320" s="421">
        <f t="shared" si="200"/>
        <v>606241.04913043487</v>
      </c>
      <c r="O320" s="421">
        <f t="shared" si="200"/>
        <v>7217.1553467908916</v>
      </c>
      <c r="P320" s="421">
        <f t="shared" si="200"/>
        <v>86605.864161490696</v>
      </c>
      <c r="Q320" s="421">
        <f t="shared" si="200"/>
        <v>22665.01142857143</v>
      </c>
      <c r="R320" s="421">
        <f t="shared" si="200"/>
        <v>0</v>
      </c>
      <c r="S320" s="421">
        <f t="shared" si="200"/>
        <v>568368.88627329085</v>
      </c>
      <c r="T320" s="421">
        <f t="shared" si="200"/>
        <v>600760.54627329181</v>
      </c>
      <c r="U320" s="421">
        <f t="shared" si="200"/>
        <v>5480.5028571428593</v>
      </c>
    </row>
    <row r="321" spans="2:21">
      <c r="D321" s="16"/>
      <c r="E321" s="16"/>
      <c r="I321" s="387"/>
      <c r="K321" s="388"/>
      <c r="L321" s="21"/>
      <c r="M321" s="429"/>
      <c r="N321" s="430"/>
      <c r="O321" s="430"/>
      <c r="P321" s="47"/>
      <c r="Q321" s="47"/>
      <c r="R321" s="430"/>
      <c r="S321" s="430"/>
      <c r="T321" s="430"/>
      <c r="U321" s="430"/>
    </row>
    <row r="322" spans="2:21">
      <c r="D322" s="16"/>
      <c r="E322" s="427" t="s">
        <v>214</v>
      </c>
      <c r="I322" s="387"/>
      <c r="K322" s="388"/>
      <c r="L322" s="21"/>
      <c r="M322" s="429"/>
      <c r="N322" s="430"/>
      <c r="O322" s="430"/>
      <c r="P322" s="47"/>
      <c r="Q322" s="47"/>
      <c r="R322" s="430"/>
      <c r="S322" s="430"/>
      <c r="T322" s="430"/>
      <c r="U322" s="430"/>
    </row>
    <row r="323" spans="2:21">
      <c r="D323" s="15">
        <v>300</v>
      </c>
      <c r="E323" s="15" t="s">
        <v>208</v>
      </c>
      <c r="F323" s="15">
        <v>2007</v>
      </c>
      <c r="G323" s="364">
        <v>10</v>
      </c>
      <c r="H323" s="386">
        <v>0</v>
      </c>
      <c r="I323" s="387" t="s">
        <v>86</v>
      </c>
      <c r="J323" s="364">
        <v>7</v>
      </c>
      <c r="K323" s="388">
        <f t="shared" ref="K323:K333" si="201">F323+J323</f>
        <v>2014</v>
      </c>
      <c r="L323" s="21">
        <f t="shared" si="199"/>
        <v>2014.8333333333333</v>
      </c>
      <c r="M323" s="365">
        <f>(35190+3103.37+2200)/828*300</f>
        <v>14671.510869565218</v>
      </c>
      <c r="N323" s="19">
        <f t="shared" ref="N323:N333" si="202">M323-M323*H323</f>
        <v>14671.510869565218</v>
      </c>
      <c r="O323" s="19">
        <f t="shared" ref="O323:O333" si="203">N323/J323/12</f>
        <v>174.66084368530019</v>
      </c>
      <c r="P323" s="19">
        <f t="shared" ref="P323:P333" si="204">+O323*12</f>
        <v>2095.9301242236024</v>
      </c>
      <c r="Q323" s="419">
        <f t="shared" ref="Q323:Q333" si="205">+IF(L323&gt;$N$6,P323,0)</f>
        <v>0</v>
      </c>
      <c r="R323" s="101"/>
      <c r="S323" s="390">
        <f t="shared" ref="S323:S333" si="206">+IF($L323&lt;=$N$7,$M323,IF(($F323+($G323/12))&gt;=$N$7,0,((($N323-((($L323-$N$7)*12)*$O323))))))</f>
        <v>14671.510869565218</v>
      </c>
      <c r="T323" s="19">
        <f t="shared" ref="T323:T333" si="207">IF(L323&lt;=$N$6,M323,Q323+S323)</f>
        <v>14671.510869565218</v>
      </c>
      <c r="U323" s="19">
        <f t="shared" ref="U323:U333" si="208">+M323-T323</f>
        <v>0</v>
      </c>
    </row>
    <row r="324" spans="2:21">
      <c r="D324" s="15">
        <v>100</v>
      </c>
      <c r="E324" s="15" t="s">
        <v>208</v>
      </c>
      <c r="F324" s="15">
        <v>2008</v>
      </c>
      <c r="G324" s="364">
        <v>7</v>
      </c>
      <c r="H324" s="386">
        <v>0</v>
      </c>
      <c r="I324" s="387" t="s">
        <v>86</v>
      </c>
      <c r="J324" s="364">
        <v>7</v>
      </c>
      <c r="K324" s="388">
        <f t="shared" si="201"/>
        <v>2015</v>
      </c>
      <c r="L324" s="21">
        <f t="shared" si="199"/>
        <v>2015.5833333333333</v>
      </c>
      <c r="M324" s="365">
        <v>6087</v>
      </c>
      <c r="N324" s="19">
        <f t="shared" si="202"/>
        <v>6087</v>
      </c>
      <c r="O324" s="19">
        <f t="shared" si="203"/>
        <v>72.464285714285708</v>
      </c>
      <c r="P324" s="19">
        <f t="shared" si="204"/>
        <v>869.57142857142844</v>
      </c>
      <c r="Q324" s="419">
        <f t="shared" si="205"/>
        <v>0</v>
      </c>
      <c r="R324" s="101"/>
      <c r="S324" s="390">
        <f t="shared" si="206"/>
        <v>6087</v>
      </c>
      <c r="T324" s="19">
        <f t="shared" si="207"/>
        <v>6087</v>
      </c>
      <c r="U324" s="19">
        <f t="shared" si="208"/>
        <v>0</v>
      </c>
    </row>
    <row r="325" spans="2:21">
      <c r="D325" s="15">
        <v>10500</v>
      </c>
      <c r="E325" s="15" t="s">
        <v>209</v>
      </c>
      <c r="F325" s="15">
        <v>2009</v>
      </c>
      <c r="G325" s="364">
        <v>7</v>
      </c>
      <c r="H325" s="386">
        <v>0</v>
      </c>
      <c r="I325" s="387" t="s">
        <v>86</v>
      </c>
      <c r="J325" s="364">
        <v>10</v>
      </c>
      <c r="K325" s="388">
        <f t="shared" si="201"/>
        <v>2019</v>
      </c>
      <c r="L325" s="21">
        <f t="shared" si="199"/>
        <v>2019.5833333333333</v>
      </c>
      <c r="M325" s="365">
        <v>477576</v>
      </c>
      <c r="N325" s="19">
        <f t="shared" si="202"/>
        <v>477576</v>
      </c>
      <c r="O325" s="19">
        <f t="shared" si="203"/>
        <v>3979.7999999999997</v>
      </c>
      <c r="P325" s="19">
        <f t="shared" si="204"/>
        <v>47757.599999999999</v>
      </c>
      <c r="Q325" s="419">
        <f t="shared" si="205"/>
        <v>0</v>
      </c>
      <c r="R325" s="101"/>
      <c r="S325" s="390">
        <f t="shared" si="206"/>
        <v>477576</v>
      </c>
      <c r="T325" s="19">
        <f t="shared" si="207"/>
        <v>477576</v>
      </c>
      <c r="U325" s="19">
        <f t="shared" si="208"/>
        <v>0</v>
      </c>
    </row>
    <row r="326" spans="2:21">
      <c r="D326" s="15">
        <v>500</v>
      </c>
      <c r="E326" s="15" t="s">
        <v>215</v>
      </c>
      <c r="F326" s="15">
        <v>2009</v>
      </c>
      <c r="G326" s="364">
        <v>7</v>
      </c>
      <c r="H326" s="386">
        <v>0</v>
      </c>
      <c r="I326" s="387" t="s">
        <v>86</v>
      </c>
      <c r="J326" s="364">
        <v>10</v>
      </c>
      <c r="K326" s="388">
        <f t="shared" si="201"/>
        <v>2019</v>
      </c>
      <c r="L326" s="21">
        <f t="shared" si="199"/>
        <v>2019.5833333333333</v>
      </c>
      <c r="M326" s="365">
        <v>22742</v>
      </c>
      <c r="N326" s="19">
        <f t="shared" si="202"/>
        <v>22742</v>
      </c>
      <c r="O326" s="19">
        <f t="shared" si="203"/>
        <v>189.51666666666665</v>
      </c>
      <c r="P326" s="19">
        <f t="shared" si="204"/>
        <v>2274.1999999999998</v>
      </c>
      <c r="Q326" s="419">
        <f t="shared" si="205"/>
        <v>0</v>
      </c>
      <c r="R326" s="101"/>
      <c r="S326" s="390">
        <f t="shared" si="206"/>
        <v>22742</v>
      </c>
      <c r="T326" s="19">
        <f t="shared" si="207"/>
        <v>22742</v>
      </c>
      <c r="U326" s="19">
        <f t="shared" si="208"/>
        <v>0</v>
      </c>
    </row>
    <row r="327" spans="2:21">
      <c r="B327" s="15">
        <v>109630</v>
      </c>
      <c r="D327" s="15">
        <v>100</v>
      </c>
      <c r="E327" s="15" t="s">
        <v>310</v>
      </c>
      <c r="F327" s="15">
        <v>2013</v>
      </c>
      <c r="G327" s="364">
        <v>6</v>
      </c>
      <c r="H327" s="386">
        <v>0</v>
      </c>
      <c r="I327" s="387" t="s">
        <v>86</v>
      </c>
      <c r="J327" s="364">
        <v>10</v>
      </c>
      <c r="K327" s="388">
        <f t="shared" si="201"/>
        <v>2023</v>
      </c>
      <c r="L327" s="21">
        <f t="shared" si="199"/>
        <v>2023.5</v>
      </c>
      <c r="M327" s="365">
        <v>7104.58</v>
      </c>
      <c r="N327" s="19">
        <f t="shared" si="202"/>
        <v>7104.58</v>
      </c>
      <c r="O327" s="19">
        <f t="shared" si="203"/>
        <v>59.204833333333333</v>
      </c>
      <c r="P327" s="19">
        <f t="shared" si="204"/>
        <v>710.45799999999997</v>
      </c>
      <c r="Q327" s="419">
        <f t="shared" si="205"/>
        <v>0</v>
      </c>
      <c r="R327" s="101"/>
      <c r="S327" s="390">
        <f t="shared" si="206"/>
        <v>6926.9655000000002</v>
      </c>
      <c r="T327" s="19">
        <f t="shared" si="207"/>
        <v>7104.58</v>
      </c>
      <c r="U327" s="19">
        <f t="shared" si="208"/>
        <v>0</v>
      </c>
    </row>
    <row r="328" spans="2:21">
      <c r="B328" s="15">
        <v>111169</v>
      </c>
      <c r="E328" s="15" t="s">
        <v>312</v>
      </c>
      <c r="F328" s="15">
        <v>2014</v>
      </c>
      <c r="G328" s="364">
        <v>1</v>
      </c>
      <c r="H328" s="386">
        <v>0</v>
      </c>
      <c r="I328" s="387" t="s">
        <v>86</v>
      </c>
      <c r="J328" s="364">
        <v>10</v>
      </c>
      <c r="K328" s="388">
        <f t="shared" si="201"/>
        <v>2024</v>
      </c>
      <c r="L328" s="21">
        <f t="shared" si="199"/>
        <v>2024.0833333333333</v>
      </c>
      <c r="M328" s="365">
        <v>2369.64</v>
      </c>
      <c r="N328" s="19">
        <f t="shared" si="202"/>
        <v>2369.64</v>
      </c>
      <c r="O328" s="19">
        <f t="shared" si="203"/>
        <v>19.747</v>
      </c>
      <c r="P328" s="19">
        <f t="shared" si="204"/>
        <v>236.964</v>
      </c>
      <c r="Q328" s="419">
        <f t="shared" si="205"/>
        <v>0</v>
      </c>
      <c r="R328" s="101"/>
      <c r="S328" s="390">
        <f t="shared" si="206"/>
        <v>2172.1700000000178</v>
      </c>
      <c r="T328" s="19">
        <f t="shared" si="207"/>
        <v>2369.64</v>
      </c>
      <c r="U328" s="19">
        <f t="shared" si="208"/>
        <v>0</v>
      </c>
    </row>
    <row r="329" spans="2:21">
      <c r="B329" s="15">
        <v>111445</v>
      </c>
      <c r="D329" s="15">
        <v>624</v>
      </c>
      <c r="E329" s="15" t="s">
        <v>209</v>
      </c>
      <c r="F329" s="15">
        <v>2014</v>
      </c>
      <c r="G329" s="364">
        <v>3</v>
      </c>
      <c r="H329" s="386">
        <v>0</v>
      </c>
      <c r="I329" s="387" t="s">
        <v>86</v>
      </c>
      <c r="J329" s="364">
        <v>10</v>
      </c>
      <c r="K329" s="388">
        <f t="shared" si="201"/>
        <v>2024</v>
      </c>
      <c r="L329" s="21">
        <f t="shared" si="199"/>
        <v>2024.25</v>
      </c>
      <c r="M329" s="365">
        <v>36065.919999999998</v>
      </c>
      <c r="N329" s="19">
        <f t="shared" si="202"/>
        <v>36065.919999999998</v>
      </c>
      <c r="O329" s="19">
        <f t="shared" si="203"/>
        <v>300.54933333333332</v>
      </c>
      <c r="P329" s="19">
        <f t="shared" si="204"/>
        <v>3606.5919999999996</v>
      </c>
      <c r="Q329" s="419">
        <f t="shared" si="205"/>
        <v>3606.5919999999996</v>
      </c>
      <c r="R329" s="101"/>
      <c r="S329" s="390">
        <f t="shared" si="206"/>
        <v>32459.327999999998</v>
      </c>
      <c r="T329" s="19">
        <f t="shared" si="207"/>
        <v>36065.919999999998</v>
      </c>
      <c r="U329" s="19">
        <f t="shared" si="208"/>
        <v>0</v>
      </c>
    </row>
    <row r="330" spans="2:21">
      <c r="B330" s="15">
        <v>121097</v>
      </c>
      <c r="D330" s="15">
        <v>420</v>
      </c>
      <c r="E330" s="15" t="s">
        <v>209</v>
      </c>
      <c r="F330" s="15">
        <v>2015</v>
      </c>
      <c r="G330" s="364">
        <v>3</v>
      </c>
      <c r="H330" s="386">
        <v>0</v>
      </c>
      <c r="I330" s="387" t="s">
        <v>86</v>
      </c>
      <c r="J330" s="364">
        <v>10</v>
      </c>
      <c r="K330" s="388">
        <f t="shared" si="201"/>
        <v>2025</v>
      </c>
      <c r="L330" s="21">
        <f t="shared" si="199"/>
        <v>2025.25</v>
      </c>
      <c r="M330" s="365">
        <v>22395.5</v>
      </c>
      <c r="N330" s="19">
        <f t="shared" si="202"/>
        <v>22395.5</v>
      </c>
      <c r="O330" s="19">
        <f t="shared" si="203"/>
        <v>186.62916666666669</v>
      </c>
      <c r="P330" s="19">
        <f t="shared" si="204"/>
        <v>2239.5500000000002</v>
      </c>
      <c r="Q330" s="419">
        <f t="shared" si="205"/>
        <v>2239.5500000000002</v>
      </c>
      <c r="R330" s="101"/>
      <c r="S330" s="390">
        <f t="shared" si="206"/>
        <v>17916.400000000001</v>
      </c>
      <c r="T330" s="19">
        <f t="shared" si="207"/>
        <v>20155.95</v>
      </c>
      <c r="U330" s="19">
        <f t="shared" si="208"/>
        <v>2239.5499999999993</v>
      </c>
    </row>
    <row r="331" spans="2:21">
      <c r="B331" s="15">
        <v>131196</v>
      </c>
      <c r="D331" s="15">
        <v>624</v>
      </c>
      <c r="E331" s="15" t="s">
        <v>209</v>
      </c>
      <c r="F331" s="15">
        <v>2016</v>
      </c>
      <c r="G331" s="364">
        <v>2</v>
      </c>
      <c r="H331" s="386">
        <v>0</v>
      </c>
      <c r="I331" s="387" t="s">
        <v>86</v>
      </c>
      <c r="J331" s="364">
        <v>10</v>
      </c>
      <c r="K331" s="388">
        <f t="shared" si="201"/>
        <v>2026</v>
      </c>
      <c r="L331" s="21">
        <f t="shared" si="199"/>
        <v>2026.1666666666667</v>
      </c>
      <c r="M331" s="365">
        <v>35165.58</v>
      </c>
      <c r="N331" s="19">
        <f t="shared" si="202"/>
        <v>35165.58</v>
      </c>
      <c r="O331" s="19">
        <f t="shared" si="203"/>
        <v>293.04649999999998</v>
      </c>
      <c r="P331" s="19">
        <f t="shared" si="204"/>
        <v>3516.558</v>
      </c>
      <c r="Q331" s="419">
        <f t="shared" si="205"/>
        <v>3516.558</v>
      </c>
      <c r="R331" s="101"/>
      <c r="S331" s="390">
        <f t="shared" si="206"/>
        <v>24908.952499999737</v>
      </c>
      <c r="T331" s="19">
        <f t="shared" si="207"/>
        <v>28425.510499999738</v>
      </c>
      <c r="U331" s="19">
        <f t="shared" si="208"/>
        <v>6740.0695000002634</v>
      </c>
    </row>
    <row r="332" spans="2:21">
      <c r="B332" s="15">
        <v>168865</v>
      </c>
      <c r="D332" s="15">
        <v>353</v>
      </c>
      <c r="E332" s="15" t="s">
        <v>209</v>
      </c>
      <c r="F332" s="15">
        <v>2016</v>
      </c>
      <c r="G332" s="364">
        <v>10</v>
      </c>
      <c r="H332" s="386">
        <v>0</v>
      </c>
      <c r="I332" s="387" t="s">
        <v>86</v>
      </c>
      <c r="J332" s="364">
        <v>7</v>
      </c>
      <c r="K332" s="388">
        <f t="shared" si="201"/>
        <v>2023</v>
      </c>
      <c r="L332" s="21">
        <f t="shared" si="199"/>
        <v>2023.8333333333333</v>
      </c>
      <c r="M332" s="365">
        <v>16852.22</v>
      </c>
      <c r="N332" s="19">
        <f t="shared" si="202"/>
        <v>16852.22</v>
      </c>
      <c r="O332" s="19">
        <f t="shared" si="203"/>
        <v>200.62166666666667</v>
      </c>
      <c r="P332" s="19">
        <f t="shared" si="204"/>
        <v>2407.46</v>
      </c>
      <c r="Q332" s="419">
        <f t="shared" si="205"/>
        <v>0</v>
      </c>
      <c r="R332" s="101"/>
      <c r="S332" s="390">
        <f t="shared" si="206"/>
        <v>15447.868333333518</v>
      </c>
      <c r="T332" s="19">
        <f t="shared" si="207"/>
        <v>16852.22</v>
      </c>
      <c r="U332" s="19">
        <f t="shared" si="208"/>
        <v>0</v>
      </c>
    </row>
    <row r="333" spans="2:21">
      <c r="B333" s="15">
        <v>178888</v>
      </c>
      <c r="D333" s="15">
        <v>524</v>
      </c>
      <c r="E333" s="15" t="s">
        <v>393</v>
      </c>
      <c r="F333" s="15">
        <v>2017</v>
      </c>
      <c r="G333" s="364">
        <v>4</v>
      </c>
      <c r="H333" s="364">
        <v>0</v>
      </c>
      <c r="I333" s="364" t="s">
        <v>86</v>
      </c>
      <c r="J333" s="364">
        <v>7</v>
      </c>
      <c r="K333" s="15">
        <f t="shared" si="201"/>
        <v>2024</v>
      </c>
      <c r="L333" s="21">
        <f t="shared" si="199"/>
        <v>2024.3333333333333</v>
      </c>
      <c r="M333" s="365">
        <v>28674.51</v>
      </c>
      <c r="N333" s="20">
        <f t="shared" si="202"/>
        <v>28674.51</v>
      </c>
      <c r="O333" s="19">
        <f t="shared" si="203"/>
        <v>341.36321428571426</v>
      </c>
      <c r="P333" s="19">
        <f t="shared" si="204"/>
        <v>4096.3585714285709</v>
      </c>
      <c r="Q333" s="419">
        <f t="shared" si="205"/>
        <v>4096.3585714285709</v>
      </c>
      <c r="R333" s="101"/>
      <c r="S333" s="390">
        <f t="shared" si="206"/>
        <v>24236.788214286025</v>
      </c>
      <c r="T333" s="19">
        <f t="shared" si="207"/>
        <v>28333.146785714598</v>
      </c>
      <c r="U333" s="19">
        <f t="shared" si="208"/>
        <v>341.36321428540032</v>
      </c>
    </row>
    <row r="334" spans="2:21" ht="9.75" customHeight="1">
      <c r="H334" s="386"/>
      <c r="I334" s="387"/>
      <c r="K334" s="388"/>
      <c r="L334" s="21"/>
      <c r="N334" s="366"/>
      <c r="O334" s="366"/>
      <c r="P334" s="19"/>
      <c r="Q334" s="19"/>
      <c r="R334" s="366"/>
      <c r="S334" s="366"/>
      <c r="T334" s="366"/>
      <c r="U334" s="366"/>
    </row>
    <row r="335" spans="2:21">
      <c r="E335" s="406" t="s">
        <v>648</v>
      </c>
      <c r="F335" s="413"/>
      <c r="G335" s="414"/>
      <c r="H335" s="415"/>
      <c r="I335" s="416"/>
      <c r="J335" s="414"/>
      <c r="K335" s="417"/>
      <c r="L335" s="54"/>
      <c r="M335" s="421">
        <f t="shared" ref="M335:U335" si="209">SUM(M323:M334)</f>
        <v>669704.46086956514</v>
      </c>
      <c r="N335" s="421">
        <f t="shared" si="209"/>
        <v>669704.46086956514</v>
      </c>
      <c r="O335" s="421">
        <f t="shared" si="209"/>
        <v>5817.6035103519671</v>
      </c>
      <c r="P335" s="421">
        <f t="shared" si="209"/>
        <v>69811.242124223601</v>
      </c>
      <c r="Q335" s="421">
        <f t="shared" si="209"/>
        <v>13459.058571428572</v>
      </c>
      <c r="R335" s="421">
        <f t="shared" si="209"/>
        <v>0</v>
      </c>
      <c r="S335" s="421">
        <f t="shared" si="209"/>
        <v>645144.98341718456</v>
      </c>
      <c r="T335" s="421">
        <f t="shared" si="209"/>
        <v>660383.47815527942</v>
      </c>
      <c r="U335" s="421">
        <f t="shared" si="209"/>
        <v>9320.982714285663</v>
      </c>
    </row>
    <row r="336" spans="2:21">
      <c r="E336" s="16"/>
      <c r="H336" s="386"/>
      <c r="I336" s="387"/>
      <c r="K336" s="388"/>
      <c r="L336" s="21"/>
      <c r="M336" s="429"/>
      <c r="N336" s="429"/>
      <c r="O336" s="429"/>
      <c r="P336" s="47"/>
      <c r="Q336" s="47"/>
      <c r="R336" s="429"/>
      <c r="S336" s="429"/>
      <c r="T336" s="429"/>
      <c r="U336" s="429"/>
    </row>
    <row r="337" spans="2:21">
      <c r="E337" s="427" t="s">
        <v>573</v>
      </c>
      <c r="H337" s="386"/>
      <c r="I337" s="387"/>
      <c r="K337" s="388"/>
      <c r="L337" s="21"/>
      <c r="M337" s="429"/>
      <c r="N337" s="429"/>
      <c r="O337" s="429"/>
      <c r="P337" s="47"/>
      <c r="Q337" s="47"/>
      <c r="R337" s="429"/>
      <c r="S337" s="429"/>
      <c r="T337" s="429"/>
      <c r="U337" s="429"/>
    </row>
    <row r="338" spans="2:21">
      <c r="B338" s="388">
        <v>207442</v>
      </c>
      <c r="D338" s="15">
        <v>200</v>
      </c>
      <c r="E338" s="15" t="s">
        <v>456</v>
      </c>
      <c r="F338" s="15">
        <v>2018</v>
      </c>
      <c r="G338" s="364">
        <v>12</v>
      </c>
      <c r="H338" s="386">
        <v>0</v>
      </c>
      <c r="I338" s="387" t="s">
        <v>86</v>
      </c>
      <c r="J338" s="364">
        <v>7</v>
      </c>
      <c r="K338" s="388">
        <f t="shared" ref="K338:K361" si="210">F338+J338</f>
        <v>2025</v>
      </c>
      <c r="L338" s="21">
        <f t="shared" ref="L338:L361" si="211">+K338+(G338/12)</f>
        <v>2026</v>
      </c>
      <c r="M338" s="365">
        <v>10120.9</v>
      </c>
      <c r="N338" s="366">
        <f t="shared" ref="N338:N361" si="212">M338-M338*H338</f>
        <v>10120.9</v>
      </c>
      <c r="O338" s="366">
        <f t="shared" ref="O338:O361" si="213">N338/J338/12</f>
        <v>120.48690476190477</v>
      </c>
      <c r="P338" s="19">
        <f t="shared" ref="P338:P361" si="214">+O338*12</f>
        <v>1445.8428571428572</v>
      </c>
      <c r="Q338" s="419">
        <f t="shared" ref="Q338:Q361" si="215">+IF(L338&gt;$N$6,P338,0)</f>
        <v>1445.8428571428572</v>
      </c>
      <c r="R338" s="101"/>
      <c r="S338" s="390">
        <f t="shared" ref="S338:S361" si="216">+IF($L338&lt;=$N$7,$M338,IF(($F338+($G338/12))&gt;=$N$7,0,((($N338-((($L338-$N$7)*12)*$O338))))))</f>
        <v>6144.8321428571417</v>
      </c>
      <c r="T338" s="19">
        <f t="shared" ref="T338:T361" si="217">IF(L338&lt;=$N$6,M338,Q338+S338)</f>
        <v>7590.6749999999993</v>
      </c>
      <c r="U338" s="19">
        <f t="shared" ref="U338:U361" si="218">+M338-T338</f>
        <v>2530.2250000000004</v>
      </c>
    </row>
    <row r="339" spans="2:21">
      <c r="B339" s="388">
        <v>204437</v>
      </c>
      <c r="D339" s="15">
        <v>100</v>
      </c>
      <c r="E339" s="15" t="s">
        <v>457</v>
      </c>
      <c r="F339" s="15">
        <v>2018</v>
      </c>
      <c r="G339" s="364">
        <v>10</v>
      </c>
      <c r="H339" s="386">
        <v>0</v>
      </c>
      <c r="I339" s="387" t="s">
        <v>86</v>
      </c>
      <c r="J339" s="364">
        <v>7</v>
      </c>
      <c r="K339" s="388">
        <f t="shared" si="210"/>
        <v>2025</v>
      </c>
      <c r="L339" s="21">
        <f t="shared" si="211"/>
        <v>2025.8333333333333</v>
      </c>
      <c r="M339" s="365">
        <v>5369.83</v>
      </c>
      <c r="N339" s="366">
        <f t="shared" si="212"/>
        <v>5369.83</v>
      </c>
      <c r="O339" s="366">
        <f t="shared" si="213"/>
        <v>63.926547619047618</v>
      </c>
      <c r="P339" s="19">
        <f t="shared" si="214"/>
        <v>767.11857142857139</v>
      </c>
      <c r="Q339" s="419">
        <f t="shared" si="215"/>
        <v>767.11857142857139</v>
      </c>
      <c r="R339" s="101"/>
      <c r="S339" s="390">
        <f t="shared" si="216"/>
        <v>3388.1070238095817</v>
      </c>
      <c r="T339" s="19">
        <f t="shared" si="217"/>
        <v>4155.2255952381529</v>
      </c>
      <c r="U339" s="19">
        <f t="shared" si="218"/>
        <v>1214.604404761847</v>
      </c>
    </row>
    <row r="340" spans="2:21">
      <c r="B340" s="388">
        <v>204435</v>
      </c>
      <c r="D340" s="15">
        <v>100</v>
      </c>
      <c r="E340" s="15" t="s">
        <v>458</v>
      </c>
      <c r="F340" s="15">
        <v>2018</v>
      </c>
      <c r="G340" s="364">
        <v>10</v>
      </c>
      <c r="H340" s="386">
        <v>0</v>
      </c>
      <c r="I340" s="387" t="s">
        <v>86</v>
      </c>
      <c r="J340" s="364">
        <v>7</v>
      </c>
      <c r="K340" s="388">
        <f t="shared" si="210"/>
        <v>2025</v>
      </c>
      <c r="L340" s="21">
        <f t="shared" si="211"/>
        <v>2025.8333333333333</v>
      </c>
      <c r="M340" s="365">
        <v>4745.95</v>
      </c>
      <c r="N340" s="366">
        <f t="shared" si="212"/>
        <v>4745.95</v>
      </c>
      <c r="O340" s="366">
        <f t="shared" si="213"/>
        <v>56.499404761904763</v>
      </c>
      <c r="P340" s="19">
        <f t="shared" si="214"/>
        <v>677.99285714285713</v>
      </c>
      <c r="Q340" s="419">
        <f t="shared" si="215"/>
        <v>677.99285714285713</v>
      </c>
      <c r="R340" s="101"/>
      <c r="S340" s="390">
        <f t="shared" si="216"/>
        <v>2994.4684523810038</v>
      </c>
      <c r="T340" s="19">
        <f t="shared" si="217"/>
        <v>3672.461309523861</v>
      </c>
      <c r="U340" s="19">
        <f t="shared" si="218"/>
        <v>1073.4886904761388</v>
      </c>
    </row>
    <row r="341" spans="2:21">
      <c r="B341" s="388">
        <v>203785</v>
      </c>
      <c r="D341" s="15">
        <v>150</v>
      </c>
      <c r="E341" s="15" t="s">
        <v>459</v>
      </c>
      <c r="F341" s="15">
        <v>2018</v>
      </c>
      <c r="G341" s="364">
        <v>8</v>
      </c>
      <c r="H341" s="386">
        <v>0</v>
      </c>
      <c r="I341" s="387" t="s">
        <v>86</v>
      </c>
      <c r="J341" s="364">
        <v>7</v>
      </c>
      <c r="K341" s="388">
        <f t="shared" si="210"/>
        <v>2025</v>
      </c>
      <c r="L341" s="21">
        <f t="shared" si="211"/>
        <v>2025.6666666666667</v>
      </c>
      <c r="M341" s="365">
        <v>8016.86</v>
      </c>
      <c r="N341" s="366">
        <f t="shared" si="212"/>
        <v>8016.86</v>
      </c>
      <c r="O341" s="366">
        <f t="shared" si="213"/>
        <v>95.438809523809525</v>
      </c>
      <c r="P341" s="19">
        <f t="shared" si="214"/>
        <v>1145.2657142857142</v>
      </c>
      <c r="Q341" s="419">
        <f t="shared" si="215"/>
        <v>1145.2657142857142</v>
      </c>
      <c r="R341" s="101"/>
      <c r="S341" s="390">
        <f t="shared" si="216"/>
        <v>5249.1345238094364</v>
      </c>
      <c r="T341" s="19">
        <f t="shared" si="217"/>
        <v>6394.4002380951506</v>
      </c>
      <c r="U341" s="19">
        <f t="shared" si="218"/>
        <v>1622.4597619048491</v>
      </c>
    </row>
    <row r="342" spans="2:21">
      <c r="B342" s="388">
        <v>203784</v>
      </c>
      <c r="D342" s="15">
        <v>150</v>
      </c>
      <c r="E342" s="15" t="s">
        <v>458</v>
      </c>
      <c r="F342" s="15">
        <v>2018</v>
      </c>
      <c r="G342" s="364">
        <v>8</v>
      </c>
      <c r="H342" s="386">
        <v>0</v>
      </c>
      <c r="I342" s="387" t="s">
        <v>86</v>
      </c>
      <c r="J342" s="364">
        <v>7</v>
      </c>
      <c r="K342" s="388">
        <f t="shared" si="210"/>
        <v>2025</v>
      </c>
      <c r="L342" s="21">
        <f t="shared" si="211"/>
        <v>2025.6666666666667</v>
      </c>
      <c r="M342" s="365">
        <v>7081.05</v>
      </c>
      <c r="N342" s="366">
        <f t="shared" si="212"/>
        <v>7081.05</v>
      </c>
      <c r="O342" s="366">
        <f t="shared" si="213"/>
        <v>84.29821428571428</v>
      </c>
      <c r="P342" s="19">
        <f t="shared" si="214"/>
        <v>1011.5785714285714</v>
      </c>
      <c r="Q342" s="419">
        <f t="shared" si="215"/>
        <v>1011.5785714285714</v>
      </c>
      <c r="R342" s="101"/>
      <c r="S342" s="390">
        <f t="shared" si="216"/>
        <v>4636.4017857142098</v>
      </c>
      <c r="T342" s="19">
        <f t="shared" si="217"/>
        <v>5647.980357142781</v>
      </c>
      <c r="U342" s="19">
        <f t="shared" si="218"/>
        <v>1433.0696428572192</v>
      </c>
    </row>
    <row r="343" spans="2:21">
      <c r="B343" s="388">
        <v>203783</v>
      </c>
      <c r="D343" s="15">
        <v>100</v>
      </c>
      <c r="E343" s="15" t="s">
        <v>456</v>
      </c>
      <c r="F343" s="15">
        <v>2018</v>
      </c>
      <c r="G343" s="364">
        <v>8</v>
      </c>
      <c r="H343" s="386">
        <v>0</v>
      </c>
      <c r="I343" s="387" t="s">
        <v>86</v>
      </c>
      <c r="J343" s="364">
        <v>7</v>
      </c>
      <c r="K343" s="388">
        <f t="shared" si="210"/>
        <v>2025</v>
      </c>
      <c r="L343" s="21">
        <f t="shared" si="211"/>
        <v>2025.6666666666667</v>
      </c>
      <c r="M343" s="365">
        <v>4612.1899999999996</v>
      </c>
      <c r="N343" s="366">
        <f t="shared" si="212"/>
        <v>4612.1899999999996</v>
      </c>
      <c r="O343" s="366">
        <f t="shared" si="213"/>
        <v>54.9070238095238</v>
      </c>
      <c r="P343" s="19">
        <f t="shared" si="214"/>
        <v>658.88428571428562</v>
      </c>
      <c r="Q343" s="419">
        <f t="shared" si="215"/>
        <v>658.88428571428562</v>
      </c>
      <c r="R343" s="101"/>
      <c r="S343" s="390">
        <f t="shared" si="216"/>
        <v>3019.8863095237593</v>
      </c>
      <c r="T343" s="19">
        <f t="shared" si="217"/>
        <v>3678.7705952380447</v>
      </c>
      <c r="U343" s="19">
        <f t="shared" si="218"/>
        <v>933.41940476195487</v>
      </c>
    </row>
    <row r="344" spans="2:21">
      <c r="B344" s="388">
        <v>197273</v>
      </c>
      <c r="D344" s="15">
        <v>150</v>
      </c>
      <c r="E344" s="15" t="s">
        <v>460</v>
      </c>
      <c r="F344" s="15">
        <v>2018</v>
      </c>
      <c r="G344" s="364">
        <v>4</v>
      </c>
      <c r="H344" s="386">
        <v>0</v>
      </c>
      <c r="I344" s="387" t="s">
        <v>86</v>
      </c>
      <c r="J344" s="364">
        <v>7</v>
      </c>
      <c r="K344" s="388">
        <f t="shared" si="210"/>
        <v>2025</v>
      </c>
      <c r="L344" s="21">
        <f t="shared" si="211"/>
        <v>2025.3333333333333</v>
      </c>
      <c r="M344" s="365">
        <v>7836.19</v>
      </c>
      <c r="N344" s="366">
        <f t="shared" si="212"/>
        <v>7836.19</v>
      </c>
      <c r="O344" s="366">
        <f t="shared" si="213"/>
        <v>93.287976190476186</v>
      </c>
      <c r="P344" s="19">
        <f t="shared" si="214"/>
        <v>1119.4557142857143</v>
      </c>
      <c r="Q344" s="419">
        <f t="shared" si="215"/>
        <v>1119.4557142857143</v>
      </c>
      <c r="R344" s="101"/>
      <c r="S344" s="390">
        <f t="shared" si="216"/>
        <v>5503.9905952381796</v>
      </c>
      <c r="T344" s="19">
        <f t="shared" si="217"/>
        <v>6623.4463095238934</v>
      </c>
      <c r="U344" s="19">
        <f t="shared" si="218"/>
        <v>1212.7436904761062</v>
      </c>
    </row>
    <row r="345" spans="2:21">
      <c r="B345" s="388">
        <v>197272</v>
      </c>
      <c r="D345" s="15">
        <v>100</v>
      </c>
      <c r="E345" s="15" t="s">
        <v>461</v>
      </c>
      <c r="F345" s="15">
        <v>2018</v>
      </c>
      <c r="G345" s="364">
        <v>4</v>
      </c>
      <c r="H345" s="386">
        <v>0</v>
      </c>
      <c r="I345" s="387" t="s">
        <v>86</v>
      </c>
      <c r="J345" s="364">
        <v>7</v>
      </c>
      <c r="K345" s="388">
        <f t="shared" si="210"/>
        <v>2025</v>
      </c>
      <c r="L345" s="21">
        <f t="shared" si="211"/>
        <v>2025.3333333333333</v>
      </c>
      <c r="M345" s="365">
        <v>4627.38</v>
      </c>
      <c r="N345" s="366">
        <f t="shared" si="212"/>
        <v>4627.38</v>
      </c>
      <c r="O345" s="366">
        <f t="shared" si="213"/>
        <v>55.087857142857139</v>
      </c>
      <c r="P345" s="19">
        <f t="shared" si="214"/>
        <v>661.0542857142857</v>
      </c>
      <c r="Q345" s="419">
        <f t="shared" si="215"/>
        <v>661.0542857142857</v>
      </c>
      <c r="R345" s="101"/>
      <c r="S345" s="390">
        <f t="shared" si="216"/>
        <v>3250.1835714286217</v>
      </c>
      <c r="T345" s="19">
        <f t="shared" si="217"/>
        <v>3911.2378571429072</v>
      </c>
      <c r="U345" s="19">
        <f t="shared" si="218"/>
        <v>716.14214285709295</v>
      </c>
    </row>
    <row r="346" spans="2:21">
      <c r="B346" s="388">
        <v>197271</v>
      </c>
      <c r="D346" s="15">
        <v>200</v>
      </c>
      <c r="E346" s="15" t="s">
        <v>462</v>
      </c>
      <c r="F346" s="15">
        <v>2018</v>
      </c>
      <c r="G346" s="364">
        <v>4</v>
      </c>
      <c r="H346" s="386">
        <v>0</v>
      </c>
      <c r="I346" s="387" t="s">
        <v>86</v>
      </c>
      <c r="J346" s="364">
        <v>7</v>
      </c>
      <c r="K346" s="388">
        <f t="shared" si="210"/>
        <v>2025</v>
      </c>
      <c r="L346" s="21">
        <f t="shared" si="211"/>
        <v>2025.3333333333333</v>
      </c>
      <c r="M346" s="365">
        <v>8278.25</v>
      </c>
      <c r="N346" s="366">
        <f t="shared" si="212"/>
        <v>8278.25</v>
      </c>
      <c r="O346" s="366">
        <f t="shared" si="213"/>
        <v>98.550595238095241</v>
      </c>
      <c r="P346" s="19">
        <f t="shared" si="214"/>
        <v>1182.6071428571429</v>
      </c>
      <c r="Q346" s="419">
        <f t="shared" si="215"/>
        <v>1182.6071428571429</v>
      </c>
      <c r="R346" s="101"/>
      <c r="S346" s="390">
        <f t="shared" si="216"/>
        <v>5814.4851190477084</v>
      </c>
      <c r="T346" s="19">
        <f t="shared" si="217"/>
        <v>6997.0922619048515</v>
      </c>
      <c r="U346" s="19">
        <f t="shared" si="218"/>
        <v>1281.1577380951485</v>
      </c>
    </row>
    <row r="347" spans="2:21">
      <c r="B347" s="388">
        <v>195622</v>
      </c>
      <c r="D347" s="15">
        <v>50</v>
      </c>
      <c r="E347" s="15" t="s">
        <v>460</v>
      </c>
      <c r="F347" s="15">
        <v>2018</v>
      </c>
      <c r="G347" s="364">
        <v>4</v>
      </c>
      <c r="H347" s="386">
        <v>0</v>
      </c>
      <c r="I347" s="387" t="s">
        <v>86</v>
      </c>
      <c r="J347" s="364">
        <v>7</v>
      </c>
      <c r="K347" s="388">
        <f t="shared" si="210"/>
        <v>2025</v>
      </c>
      <c r="L347" s="21">
        <f t="shared" si="211"/>
        <v>2025.3333333333333</v>
      </c>
      <c r="M347" s="365">
        <v>2630.75</v>
      </c>
      <c r="N347" s="366">
        <f t="shared" si="212"/>
        <v>2630.75</v>
      </c>
      <c r="O347" s="366">
        <f t="shared" si="213"/>
        <v>31.31845238095238</v>
      </c>
      <c r="P347" s="19">
        <f t="shared" si="214"/>
        <v>375.82142857142856</v>
      </c>
      <c r="Q347" s="419">
        <f t="shared" si="215"/>
        <v>375.82142857142856</v>
      </c>
      <c r="R347" s="101"/>
      <c r="S347" s="390">
        <f t="shared" si="216"/>
        <v>1847.788690476219</v>
      </c>
      <c r="T347" s="19">
        <f t="shared" si="217"/>
        <v>2223.6101190476475</v>
      </c>
      <c r="U347" s="19">
        <f t="shared" si="218"/>
        <v>407.13988095235254</v>
      </c>
    </row>
    <row r="348" spans="2:21">
      <c r="B348" s="388">
        <v>195621</v>
      </c>
      <c r="D348" s="15">
        <v>150</v>
      </c>
      <c r="E348" s="15" t="s">
        <v>461</v>
      </c>
      <c r="F348" s="15">
        <v>2018</v>
      </c>
      <c r="G348" s="364">
        <v>4</v>
      </c>
      <c r="H348" s="386">
        <v>0</v>
      </c>
      <c r="I348" s="387" t="s">
        <v>86</v>
      </c>
      <c r="J348" s="364">
        <v>7</v>
      </c>
      <c r="K348" s="388">
        <f t="shared" si="210"/>
        <v>2025</v>
      </c>
      <c r="L348" s="21">
        <f t="shared" si="211"/>
        <v>2025.3333333333333</v>
      </c>
      <c r="M348" s="365">
        <v>6997.14</v>
      </c>
      <c r="N348" s="366">
        <f t="shared" si="212"/>
        <v>6997.14</v>
      </c>
      <c r="O348" s="366">
        <f t="shared" si="213"/>
        <v>83.299285714285716</v>
      </c>
      <c r="P348" s="19">
        <f t="shared" si="214"/>
        <v>999.59142857142865</v>
      </c>
      <c r="Q348" s="419">
        <f t="shared" si="215"/>
        <v>999.59142857142865</v>
      </c>
      <c r="R348" s="101"/>
      <c r="S348" s="390">
        <f t="shared" si="216"/>
        <v>4914.6578571429327</v>
      </c>
      <c r="T348" s="19">
        <f t="shared" si="217"/>
        <v>5914.2492857143616</v>
      </c>
      <c r="U348" s="19">
        <f t="shared" si="218"/>
        <v>1082.8907142856388</v>
      </c>
    </row>
    <row r="349" spans="2:21">
      <c r="B349" s="388">
        <v>212749</v>
      </c>
      <c r="D349" s="15">
        <v>204</v>
      </c>
      <c r="E349" s="15" t="s">
        <v>523</v>
      </c>
      <c r="F349" s="15">
        <v>2019</v>
      </c>
      <c r="G349" s="364">
        <v>2</v>
      </c>
      <c r="H349" s="386">
        <v>0</v>
      </c>
      <c r="I349" s="387" t="s">
        <v>86</v>
      </c>
      <c r="J349" s="364">
        <v>7</v>
      </c>
      <c r="K349" s="388">
        <f t="shared" si="210"/>
        <v>2026</v>
      </c>
      <c r="L349" s="21">
        <f t="shared" si="211"/>
        <v>2026.1666666666667</v>
      </c>
      <c r="M349" s="365">
        <v>9008.11</v>
      </c>
      <c r="N349" s="366">
        <f t="shared" si="212"/>
        <v>9008.11</v>
      </c>
      <c r="O349" s="366">
        <f t="shared" si="213"/>
        <v>107.23940476190477</v>
      </c>
      <c r="P349" s="19">
        <f t="shared" si="214"/>
        <v>1286.8728571428571</v>
      </c>
      <c r="Q349" s="419">
        <f t="shared" si="215"/>
        <v>1286.8728571428571</v>
      </c>
      <c r="R349" s="101"/>
      <c r="S349" s="390">
        <f t="shared" si="216"/>
        <v>5254.7308333332367</v>
      </c>
      <c r="T349" s="19">
        <f t="shared" si="217"/>
        <v>6541.603690476094</v>
      </c>
      <c r="U349" s="19">
        <f t="shared" si="218"/>
        <v>2466.5063095239066</v>
      </c>
    </row>
    <row r="350" spans="2:21">
      <c r="B350" s="388">
        <v>212750</v>
      </c>
      <c r="D350" s="15">
        <v>288</v>
      </c>
      <c r="E350" s="15" t="s">
        <v>524</v>
      </c>
      <c r="F350" s="15">
        <v>2019</v>
      </c>
      <c r="G350" s="364">
        <v>2</v>
      </c>
      <c r="H350" s="386">
        <v>0</v>
      </c>
      <c r="I350" s="387" t="s">
        <v>86</v>
      </c>
      <c r="J350" s="364">
        <v>7</v>
      </c>
      <c r="K350" s="388">
        <f t="shared" si="210"/>
        <v>2026</v>
      </c>
      <c r="L350" s="21">
        <f t="shared" si="211"/>
        <v>2026.1666666666667</v>
      </c>
      <c r="M350" s="365">
        <v>13107.93</v>
      </c>
      <c r="N350" s="366">
        <f t="shared" si="212"/>
        <v>13107.93</v>
      </c>
      <c r="O350" s="366">
        <f t="shared" si="213"/>
        <v>156.04678571428573</v>
      </c>
      <c r="P350" s="19">
        <f t="shared" si="214"/>
        <v>1872.5614285714287</v>
      </c>
      <c r="Q350" s="419">
        <f t="shared" si="215"/>
        <v>1872.5614285714287</v>
      </c>
      <c r="R350" s="101"/>
      <c r="S350" s="390">
        <f t="shared" si="216"/>
        <v>7646.2924999998577</v>
      </c>
      <c r="T350" s="19">
        <f t="shared" si="217"/>
        <v>9518.8539285712868</v>
      </c>
      <c r="U350" s="19">
        <f t="shared" si="218"/>
        <v>3589.0760714287135</v>
      </c>
    </row>
    <row r="351" spans="2:21">
      <c r="B351" s="388">
        <v>212751</v>
      </c>
      <c r="D351" s="15">
        <v>276</v>
      </c>
      <c r="E351" s="15" t="s">
        <v>525</v>
      </c>
      <c r="F351" s="15">
        <v>2019</v>
      </c>
      <c r="G351" s="364">
        <v>2</v>
      </c>
      <c r="H351" s="386">
        <v>0</v>
      </c>
      <c r="I351" s="387" t="s">
        <v>86</v>
      </c>
      <c r="J351" s="364">
        <v>7</v>
      </c>
      <c r="K351" s="388">
        <f t="shared" si="210"/>
        <v>2026</v>
      </c>
      <c r="L351" s="21">
        <f t="shared" si="211"/>
        <v>2026.1666666666667</v>
      </c>
      <c r="M351" s="365">
        <v>13759.6</v>
      </c>
      <c r="N351" s="366">
        <f t="shared" si="212"/>
        <v>13759.6</v>
      </c>
      <c r="O351" s="366">
        <f t="shared" si="213"/>
        <v>163.8047619047619</v>
      </c>
      <c r="P351" s="19">
        <f t="shared" si="214"/>
        <v>1965.6571428571428</v>
      </c>
      <c r="Q351" s="419">
        <f t="shared" si="215"/>
        <v>1965.6571428571428</v>
      </c>
      <c r="R351" s="101"/>
      <c r="S351" s="390">
        <f t="shared" si="216"/>
        <v>8026.4333333331851</v>
      </c>
      <c r="T351" s="19">
        <f t="shared" si="217"/>
        <v>9992.0904761903275</v>
      </c>
      <c r="U351" s="19">
        <f t="shared" si="218"/>
        <v>3767.5095238096728</v>
      </c>
    </row>
    <row r="352" spans="2:21">
      <c r="B352" s="388">
        <v>214066</v>
      </c>
      <c r="D352" s="15">
        <f>204+288+900</f>
        <v>1392</v>
      </c>
      <c r="E352" s="15" t="s">
        <v>526</v>
      </c>
      <c r="F352" s="15">
        <v>2019</v>
      </c>
      <c r="G352" s="364">
        <v>5</v>
      </c>
      <c r="H352" s="386">
        <v>0</v>
      </c>
      <c r="I352" s="387" t="s">
        <v>86</v>
      </c>
      <c r="J352" s="364">
        <v>7</v>
      </c>
      <c r="K352" s="388">
        <f t="shared" si="210"/>
        <v>2026</v>
      </c>
      <c r="L352" s="21">
        <f t="shared" si="211"/>
        <v>2026.4166666666667</v>
      </c>
      <c r="M352" s="365">
        <v>31647.39</v>
      </c>
      <c r="N352" s="366">
        <f t="shared" si="212"/>
        <v>31647.39</v>
      </c>
      <c r="O352" s="366">
        <f t="shared" si="213"/>
        <v>376.75464285714287</v>
      </c>
      <c r="P352" s="19">
        <f t="shared" si="214"/>
        <v>4521.0557142857142</v>
      </c>
      <c r="Q352" s="419">
        <f t="shared" si="215"/>
        <v>4521.0557142857142</v>
      </c>
      <c r="R352" s="101"/>
      <c r="S352" s="390">
        <f t="shared" si="216"/>
        <v>17330.713571428227</v>
      </c>
      <c r="T352" s="19">
        <f t="shared" si="217"/>
        <v>21851.769285713941</v>
      </c>
      <c r="U352" s="19">
        <f t="shared" si="218"/>
        <v>9795.6207142860585</v>
      </c>
    </row>
    <row r="353" spans="2:21">
      <c r="B353" s="388">
        <v>217680</v>
      </c>
      <c r="D353" s="15">
        <v>288</v>
      </c>
      <c r="E353" s="15" t="s">
        <v>527</v>
      </c>
      <c r="F353" s="15">
        <v>2019</v>
      </c>
      <c r="G353" s="364">
        <v>7</v>
      </c>
      <c r="H353" s="386">
        <v>0</v>
      </c>
      <c r="I353" s="387" t="s">
        <v>86</v>
      </c>
      <c r="J353" s="364">
        <v>7</v>
      </c>
      <c r="K353" s="388">
        <f t="shared" si="210"/>
        <v>2026</v>
      </c>
      <c r="L353" s="21">
        <f t="shared" si="211"/>
        <v>2026.5833333333333</v>
      </c>
      <c r="M353" s="365">
        <v>12810.33</v>
      </c>
      <c r="N353" s="366">
        <f t="shared" si="212"/>
        <v>12810.33</v>
      </c>
      <c r="O353" s="366">
        <f t="shared" si="213"/>
        <v>152.50392857142859</v>
      </c>
      <c r="P353" s="19">
        <f t="shared" si="214"/>
        <v>1830.0471428571432</v>
      </c>
      <c r="Q353" s="419">
        <f t="shared" si="215"/>
        <v>1830.0471428571432</v>
      </c>
      <c r="R353" s="101"/>
      <c r="S353" s="390">
        <f t="shared" si="216"/>
        <v>6710.1728571429949</v>
      </c>
      <c r="T353" s="19">
        <f t="shared" si="217"/>
        <v>8540.2200000001376</v>
      </c>
      <c r="U353" s="19">
        <f t="shared" si="218"/>
        <v>4270.1099999998623</v>
      </c>
    </row>
    <row r="354" spans="2:21">
      <c r="B354" s="388">
        <v>217681</v>
      </c>
      <c r="D354" s="15">
        <v>288</v>
      </c>
      <c r="E354" s="15" t="s">
        <v>528</v>
      </c>
      <c r="F354" s="15">
        <v>2019</v>
      </c>
      <c r="G354" s="364">
        <v>7</v>
      </c>
      <c r="H354" s="386">
        <v>0</v>
      </c>
      <c r="I354" s="387" t="s">
        <v>86</v>
      </c>
      <c r="J354" s="364">
        <v>7</v>
      </c>
      <c r="K354" s="388">
        <f t="shared" si="210"/>
        <v>2026</v>
      </c>
      <c r="L354" s="21">
        <f t="shared" si="211"/>
        <v>2026.5833333333333</v>
      </c>
      <c r="M354" s="365">
        <v>13170.34</v>
      </c>
      <c r="N354" s="366">
        <f t="shared" si="212"/>
        <v>13170.34</v>
      </c>
      <c r="O354" s="366">
        <f t="shared" si="213"/>
        <v>156.78976190476189</v>
      </c>
      <c r="P354" s="19">
        <f t="shared" si="214"/>
        <v>1881.4771428571426</v>
      </c>
      <c r="Q354" s="419">
        <f t="shared" si="215"/>
        <v>1881.4771428571426</v>
      </c>
      <c r="R354" s="101"/>
      <c r="S354" s="390">
        <f t="shared" si="216"/>
        <v>6898.7495238096672</v>
      </c>
      <c r="T354" s="19">
        <f t="shared" si="217"/>
        <v>8780.2266666668093</v>
      </c>
      <c r="U354" s="19">
        <f t="shared" si="218"/>
        <v>4390.1133333331909</v>
      </c>
    </row>
    <row r="355" spans="2:21">
      <c r="B355" s="388">
        <v>222640</v>
      </c>
      <c r="D355" s="15">
        <v>288</v>
      </c>
      <c r="E355" s="15" t="s">
        <v>546</v>
      </c>
      <c r="F355" s="15">
        <v>2019</v>
      </c>
      <c r="G355" s="364">
        <v>10</v>
      </c>
      <c r="H355" s="386">
        <v>0</v>
      </c>
      <c r="I355" s="387" t="s">
        <v>86</v>
      </c>
      <c r="J355" s="364">
        <v>7</v>
      </c>
      <c r="K355" s="388">
        <f t="shared" si="210"/>
        <v>2026</v>
      </c>
      <c r="L355" s="21">
        <f t="shared" si="211"/>
        <v>2026.8333333333333</v>
      </c>
      <c r="M355" s="365">
        <v>12739.9</v>
      </c>
      <c r="N355" s="366">
        <f t="shared" si="212"/>
        <v>12739.9</v>
      </c>
      <c r="O355" s="366">
        <f t="shared" si="213"/>
        <v>151.6654761904762</v>
      </c>
      <c r="P355" s="19">
        <f t="shared" si="214"/>
        <v>1819.9857142857145</v>
      </c>
      <c r="Q355" s="419">
        <f t="shared" si="215"/>
        <v>1819.9857142857145</v>
      </c>
      <c r="R355" s="101"/>
      <c r="S355" s="390">
        <f t="shared" si="216"/>
        <v>6218.2845238096606</v>
      </c>
      <c r="T355" s="19">
        <f t="shared" si="217"/>
        <v>8038.2702380953751</v>
      </c>
      <c r="U355" s="19">
        <f t="shared" si="218"/>
        <v>4701.6297619046245</v>
      </c>
    </row>
    <row r="356" spans="2:21">
      <c r="B356" s="388">
        <v>222638</v>
      </c>
      <c r="D356" s="15">
        <v>100</v>
      </c>
      <c r="E356" s="15" t="s">
        <v>527</v>
      </c>
      <c r="F356" s="15">
        <v>2019</v>
      </c>
      <c r="G356" s="364">
        <v>10</v>
      </c>
      <c r="H356" s="386">
        <v>0</v>
      </c>
      <c r="I356" s="387" t="s">
        <v>86</v>
      </c>
      <c r="J356" s="364">
        <v>7</v>
      </c>
      <c r="K356" s="388">
        <f t="shared" si="210"/>
        <v>2026</v>
      </c>
      <c r="L356" s="21">
        <f t="shared" si="211"/>
        <v>2026.8333333333333</v>
      </c>
      <c r="M356" s="365">
        <v>4323.58</v>
      </c>
      <c r="N356" s="366">
        <f t="shared" si="212"/>
        <v>4323.58</v>
      </c>
      <c r="O356" s="366">
        <f t="shared" si="213"/>
        <v>51.471190476190479</v>
      </c>
      <c r="P356" s="19">
        <f t="shared" si="214"/>
        <v>617.65428571428572</v>
      </c>
      <c r="Q356" s="419">
        <f t="shared" si="215"/>
        <v>617.65428571428572</v>
      </c>
      <c r="R356" s="101"/>
      <c r="S356" s="390">
        <f t="shared" si="216"/>
        <v>2110.3188095238561</v>
      </c>
      <c r="T356" s="19">
        <f t="shared" si="217"/>
        <v>2727.9730952381419</v>
      </c>
      <c r="U356" s="19">
        <f t="shared" si="218"/>
        <v>1595.606904761858</v>
      </c>
    </row>
    <row r="357" spans="2:21">
      <c r="B357" s="388">
        <v>234067</v>
      </c>
      <c r="D357" s="15">
        <v>312</v>
      </c>
      <c r="E357" s="15" t="s">
        <v>552</v>
      </c>
      <c r="F357" s="15">
        <v>2020</v>
      </c>
      <c r="G357" s="364">
        <v>6</v>
      </c>
      <c r="H357" s="386">
        <v>0</v>
      </c>
      <c r="I357" s="387" t="s">
        <v>86</v>
      </c>
      <c r="J357" s="364">
        <v>7</v>
      </c>
      <c r="K357" s="388">
        <f t="shared" si="210"/>
        <v>2027</v>
      </c>
      <c r="L357" s="21">
        <f t="shared" si="211"/>
        <v>2027.5</v>
      </c>
      <c r="M357" s="365">
        <v>12863.76</v>
      </c>
      <c r="N357" s="366">
        <f t="shared" si="212"/>
        <v>12863.76</v>
      </c>
      <c r="O357" s="366">
        <f t="shared" si="213"/>
        <v>153.14000000000001</v>
      </c>
      <c r="P357" s="19">
        <f t="shared" si="214"/>
        <v>1837.6800000000003</v>
      </c>
      <c r="Q357" s="419">
        <f t="shared" si="215"/>
        <v>1837.6800000000003</v>
      </c>
      <c r="R357" s="101"/>
      <c r="S357" s="390">
        <f t="shared" si="216"/>
        <v>5053.62</v>
      </c>
      <c r="T357" s="19">
        <f t="shared" si="217"/>
        <v>6891.3</v>
      </c>
      <c r="U357" s="19">
        <f t="shared" si="218"/>
        <v>5972.46</v>
      </c>
    </row>
    <row r="358" spans="2:21">
      <c r="B358" s="388">
        <v>238422</v>
      </c>
      <c r="D358" s="15">
        <v>151</v>
      </c>
      <c r="E358" s="15" t="s">
        <v>565</v>
      </c>
      <c r="F358" s="15">
        <v>2020</v>
      </c>
      <c r="G358" s="364">
        <v>9</v>
      </c>
      <c r="H358" s="386">
        <v>0</v>
      </c>
      <c r="I358" s="387" t="s">
        <v>86</v>
      </c>
      <c r="J358" s="364">
        <v>7</v>
      </c>
      <c r="K358" s="388">
        <f t="shared" si="210"/>
        <v>2027</v>
      </c>
      <c r="L358" s="21">
        <f t="shared" si="211"/>
        <v>2027.75</v>
      </c>
      <c r="M358" s="365">
        <v>5615.79</v>
      </c>
      <c r="N358" s="366">
        <f t="shared" si="212"/>
        <v>5615.79</v>
      </c>
      <c r="O358" s="366">
        <f t="shared" si="213"/>
        <v>66.854642857142849</v>
      </c>
      <c r="P358" s="19">
        <f t="shared" si="214"/>
        <v>802.25571428571425</v>
      </c>
      <c r="Q358" s="419">
        <f t="shared" si="215"/>
        <v>802.25571428571425</v>
      </c>
      <c r="R358" s="101"/>
      <c r="S358" s="390">
        <f t="shared" si="216"/>
        <v>2005.639285714286</v>
      </c>
      <c r="T358" s="19">
        <f t="shared" si="217"/>
        <v>2807.8950000000004</v>
      </c>
      <c r="U358" s="19">
        <f t="shared" si="218"/>
        <v>2807.8949999999995</v>
      </c>
    </row>
    <row r="359" spans="2:21">
      <c r="B359" s="388">
        <v>238421</v>
      </c>
      <c r="D359" s="15">
        <v>151</v>
      </c>
      <c r="E359" s="15" t="s">
        <v>566</v>
      </c>
      <c r="F359" s="15">
        <v>2020</v>
      </c>
      <c r="G359" s="364">
        <v>9</v>
      </c>
      <c r="H359" s="386">
        <v>0</v>
      </c>
      <c r="I359" s="387" t="s">
        <v>86</v>
      </c>
      <c r="J359" s="364">
        <v>7</v>
      </c>
      <c r="K359" s="388">
        <f t="shared" si="210"/>
        <v>2027</v>
      </c>
      <c r="L359" s="21">
        <f t="shared" si="211"/>
        <v>2027.75</v>
      </c>
      <c r="M359" s="365">
        <v>6461.39</v>
      </c>
      <c r="N359" s="366">
        <f t="shared" si="212"/>
        <v>6461.39</v>
      </c>
      <c r="O359" s="366">
        <f t="shared" si="213"/>
        <v>76.921309523809526</v>
      </c>
      <c r="P359" s="19">
        <f t="shared" si="214"/>
        <v>923.05571428571432</v>
      </c>
      <c r="Q359" s="419">
        <f t="shared" si="215"/>
        <v>923.05571428571432</v>
      </c>
      <c r="R359" s="101"/>
      <c r="S359" s="390">
        <f t="shared" si="216"/>
        <v>2307.6392857142855</v>
      </c>
      <c r="T359" s="19">
        <f t="shared" si="217"/>
        <v>3230.6949999999997</v>
      </c>
      <c r="U359" s="19">
        <f t="shared" si="218"/>
        <v>3230.6950000000006</v>
      </c>
    </row>
    <row r="360" spans="2:21">
      <c r="B360" s="388">
        <v>243342</v>
      </c>
      <c r="D360" s="15">
        <v>144</v>
      </c>
      <c r="E360" s="15" t="s">
        <v>565</v>
      </c>
      <c r="F360" s="15">
        <v>2020</v>
      </c>
      <c r="G360" s="364">
        <v>11</v>
      </c>
      <c r="H360" s="386">
        <v>0</v>
      </c>
      <c r="I360" s="387" t="s">
        <v>86</v>
      </c>
      <c r="J360" s="364">
        <v>7</v>
      </c>
      <c r="K360" s="388">
        <f t="shared" si="210"/>
        <v>2027</v>
      </c>
      <c r="L360" s="21">
        <f t="shared" si="211"/>
        <v>2027.9166666666667</v>
      </c>
      <c r="M360" s="365">
        <v>5709.01</v>
      </c>
      <c r="N360" s="366">
        <f t="shared" si="212"/>
        <v>5709.01</v>
      </c>
      <c r="O360" s="366">
        <f t="shared" si="213"/>
        <v>67.96440476190476</v>
      </c>
      <c r="P360" s="19">
        <f t="shared" si="214"/>
        <v>815.57285714285717</v>
      </c>
      <c r="Q360" s="419">
        <f t="shared" si="215"/>
        <v>815.57285714285717</v>
      </c>
      <c r="R360" s="101"/>
      <c r="S360" s="390">
        <f t="shared" si="216"/>
        <v>1903.0033333332717</v>
      </c>
      <c r="T360" s="19">
        <f t="shared" si="217"/>
        <v>2718.5761904761289</v>
      </c>
      <c r="U360" s="19">
        <f t="shared" si="218"/>
        <v>2990.4338095238713</v>
      </c>
    </row>
    <row r="361" spans="2:21">
      <c r="B361" s="388">
        <v>243341</v>
      </c>
      <c r="D361" s="15">
        <v>120</v>
      </c>
      <c r="E361" s="15" t="s">
        <v>566</v>
      </c>
      <c r="F361" s="15">
        <v>2020</v>
      </c>
      <c r="G361" s="364">
        <v>11</v>
      </c>
      <c r="H361" s="386">
        <v>0</v>
      </c>
      <c r="I361" s="387" t="s">
        <v>86</v>
      </c>
      <c r="J361" s="364">
        <v>7</v>
      </c>
      <c r="K361" s="388">
        <f t="shared" si="210"/>
        <v>2027</v>
      </c>
      <c r="L361" s="21">
        <f t="shared" si="211"/>
        <v>2027.9166666666667</v>
      </c>
      <c r="M361" s="365">
        <v>5408.51</v>
      </c>
      <c r="N361" s="366">
        <f t="shared" si="212"/>
        <v>5408.51</v>
      </c>
      <c r="O361" s="366">
        <f t="shared" si="213"/>
        <v>64.387023809523811</v>
      </c>
      <c r="P361" s="19">
        <f t="shared" si="214"/>
        <v>772.64428571428573</v>
      </c>
      <c r="Q361" s="419">
        <f t="shared" si="215"/>
        <v>772.64428571428573</v>
      </c>
      <c r="R361" s="101"/>
      <c r="S361" s="390">
        <f t="shared" si="216"/>
        <v>1802.8366666666084</v>
      </c>
      <c r="T361" s="19">
        <f t="shared" si="217"/>
        <v>2575.480952380894</v>
      </c>
      <c r="U361" s="19">
        <f t="shared" si="218"/>
        <v>2833.0290476191062</v>
      </c>
    </row>
    <row r="362" spans="2:21">
      <c r="E362" s="16"/>
      <c r="H362" s="386"/>
      <c r="I362" s="387"/>
      <c r="K362" s="388"/>
      <c r="L362" s="21"/>
      <c r="M362" s="429"/>
      <c r="N362" s="429"/>
      <c r="O362" s="429"/>
      <c r="P362" s="47"/>
      <c r="Q362" s="47"/>
      <c r="R362" s="429"/>
      <c r="S362" s="429"/>
      <c r="T362" s="429"/>
      <c r="U362" s="429"/>
    </row>
    <row r="363" spans="2:21">
      <c r="E363" s="406" t="s">
        <v>649</v>
      </c>
      <c r="F363" s="413"/>
      <c r="G363" s="414"/>
      <c r="H363" s="415"/>
      <c r="I363" s="416"/>
      <c r="J363" s="414"/>
      <c r="K363" s="417"/>
      <c r="L363" s="54"/>
      <c r="M363" s="421">
        <f>SUM(M338:M362)</f>
        <v>216942.13000000003</v>
      </c>
      <c r="N363" s="421">
        <f t="shared" ref="N363:Q363" si="219">SUM(N338:N362)</f>
        <v>216942.13000000003</v>
      </c>
      <c r="O363" s="421">
        <f t="shared" si="219"/>
        <v>2582.6444047619052</v>
      </c>
      <c r="P363" s="421">
        <f t="shared" si="219"/>
        <v>30991.732857142862</v>
      </c>
      <c r="Q363" s="421">
        <f t="shared" si="219"/>
        <v>30991.732857142862</v>
      </c>
      <c r="R363" s="421"/>
      <c r="S363" s="421">
        <f t="shared" ref="S363" si="220">SUM(S338:S362)</f>
        <v>120032.37059523794</v>
      </c>
      <c r="T363" s="421">
        <f t="shared" ref="T363" si="221">SUM(T338:T362)</f>
        <v>151024.10345238078</v>
      </c>
      <c r="U363" s="421">
        <f t="shared" ref="U363" si="222">SUM(U338:U362)</f>
        <v>65918.026547619214</v>
      </c>
    </row>
    <row r="364" spans="2:21">
      <c r="E364" s="16"/>
      <c r="H364" s="386"/>
      <c r="I364" s="387"/>
      <c r="K364" s="388"/>
      <c r="L364" s="21"/>
      <c r="M364" s="429"/>
      <c r="N364" s="429"/>
      <c r="O364" s="429"/>
      <c r="P364" s="429"/>
      <c r="Q364" s="429"/>
      <c r="R364" s="429"/>
      <c r="S364" s="429"/>
      <c r="T364" s="429"/>
      <c r="U364" s="429"/>
    </row>
    <row r="365" spans="2:21">
      <c r="E365" s="427" t="s">
        <v>574</v>
      </c>
      <c r="H365" s="386"/>
      <c r="I365" s="387"/>
      <c r="K365" s="388"/>
      <c r="L365" s="21"/>
      <c r="M365" s="429"/>
      <c r="N365" s="429"/>
      <c r="O365" s="429"/>
      <c r="P365" s="429"/>
      <c r="Q365" s="429"/>
      <c r="R365" s="429"/>
      <c r="S365" s="429"/>
      <c r="T365" s="429"/>
      <c r="U365" s="429"/>
    </row>
    <row r="366" spans="2:21">
      <c r="B366" s="15">
        <v>195623</v>
      </c>
      <c r="D366" s="15">
        <v>362</v>
      </c>
      <c r="E366" s="15" t="s">
        <v>463</v>
      </c>
      <c r="F366" s="15">
        <v>2018</v>
      </c>
      <c r="G366" s="364">
        <v>4</v>
      </c>
      <c r="H366" s="386">
        <v>0</v>
      </c>
      <c r="I366" s="387" t="s">
        <v>86</v>
      </c>
      <c r="J366" s="364">
        <v>7</v>
      </c>
      <c r="K366" s="388">
        <f t="shared" ref="K366:K376" si="223">F366+J366</f>
        <v>2025</v>
      </c>
      <c r="L366" s="21">
        <f t="shared" ref="L366:L376" si="224">+K366+(G366/12)</f>
        <v>2025.3333333333333</v>
      </c>
      <c r="M366" s="365">
        <v>19046.66</v>
      </c>
      <c r="N366" s="19">
        <f t="shared" ref="N366:N376" si="225">M366-M366*H366</f>
        <v>19046.66</v>
      </c>
      <c r="O366" s="19">
        <f t="shared" ref="O366:O376" si="226">N366/J366/12</f>
        <v>226.74595238095239</v>
      </c>
      <c r="P366" s="19">
        <f t="shared" ref="P366:P376" si="227">+O366*12</f>
        <v>2720.9514285714286</v>
      </c>
      <c r="Q366" s="419">
        <f t="shared" ref="Q366:Q376" si="228">+IF(L366&gt;$N$6,P366,0)</f>
        <v>2720.9514285714286</v>
      </c>
      <c r="R366" s="101"/>
      <c r="S366" s="390">
        <f t="shared" ref="S366:S376" si="229">+IF($L366&lt;=$N$7,$M366,IF(($F366+($G366/12))&gt;=$N$7,0,((($N366-((($L366-$N$7)*12)*$O366))))))</f>
        <v>13378.011190476396</v>
      </c>
      <c r="T366" s="19">
        <f t="shared" ref="T366:T376" si="230">IF(L366&lt;=$N$6,M366,Q366+S366)</f>
        <v>16098.962619047825</v>
      </c>
      <c r="U366" s="19">
        <f t="shared" ref="U366:U376" si="231">+M366-T366</f>
        <v>2947.6973809521751</v>
      </c>
    </row>
    <row r="367" spans="2:21">
      <c r="B367" s="15">
        <v>197274</v>
      </c>
      <c r="D367" s="15">
        <v>280</v>
      </c>
      <c r="E367" s="15" t="s">
        <v>463</v>
      </c>
      <c r="F367" s="15">
        <v>2018</v>
      </c>
      <c r="G367" s="364">
        <v>4</v>
      </c>
      <c r="H367" s="386">
        <v>0</v>
      </c>
      <c r="I367" s="387" t="s">
        <v>86</v>
      </c>
      <c r="J367" s="364">
        <v>7</v>
      </c>
      <c r="K367" s="388">
        <f t="shared" si="223"/>
        <v>2025</v>
      </c>
      <c r="L367" s="21">
        <f t="shared" si="224"/>
        <v>2025.3333333333333</v>
      </c>
      <c r="M367" s="365">
        <v>14627.56</v>
      </c>
      <c r="N367" s="19">
        <f t="shared" si="225"/>
        <v>14627.56</v>
      </c>
      <c r="O367" s="19">
        <f t="shared" si="226"/>
        <v>174.13761904761904</v>
      </c>
      <c r="P367" s="19">
        <f t="shared" si="227"/>
        <v>2089.6514285714284</v>
      </c>
      <c r="Q367" s="419">
        <f t="shared" si="228"/>
        <v>2089.6514285714284</v>
      </c>
      <c r="R367" s="101"/>
      <c r="S367" s="390">
        <f t="shared" si="229"/>
        <v>10274.119523809681</v>
      </c>
      <c r="T367" s="19">
        <f t="shared" si="230"/>
        <v>12363.77095238111</v>
      </c>
      <c r="U367" s="19">
        <f t="shared" si="231"/>
        <v>2263.7890476188895</v>
      </c>
    </row>
    <row r="368" spans="2:21">
      <c r="B368" s="15">
        <v>203786</v>
      </c>
      <c r="D368" s="15">
        <v>282</v>
      </c>
      <c r="E368" s="15" t="s">
        <v>464</v>
      </c>
      <c r="F368" s="15">
        <v>2018</v>
      </c>
      <c r="G368" s="364">
        <v>8</v>
      </c>
      <c r="H368" s="386">
        <v>0</v>
      </c>
      <c r="I368" s="387" t="s">
        <v>86</v>
      </c>
      <c r="J368" s="364">
        <v>7</v>
      </c>
      <c r="K368" s="388">
        <f t="shared" si="223"/>
        <v>2025</v>
      </c>
      <c r="L368" s="21">
        <f t="shared" si="224"/>
        <v>2025.6666666666667</v>
      </c>
      <c r="M368" s="365">
        <v>15071.71</v>
      </c>
      <c r="N368" s="19">
        <f t="shared" si="225"/>
        <v>15071.71</v>
      </c>
      <c r="O368" s="19">
        <f t="shared" si="226"/>
        <v>179.42511904761906</v>
      </c>
      <c r="P368" s="19">
        <f t="shared" si="227"/>
        <v>2153.1014285714286</v>
      </c>
      <c r="Q368" s="419">
        <f t="shared" si="228"/>
        <v>2153.1014285714286</v>
      </c>
      <c r="R368" s="101"/>
      <c r="S368" s="390">
        <f t="shared" si="229"/>
        <v>9868.3815476188829</v>
      </c>
      <c r="T368" s="19">
        <f t="shared" si="230"/>
        <v>12021.482976190311</v>
      </c>
      <c r="U368" s="19">
        <f t="shared" si="231"/>
        <v>3050.227023809688</v>
      </c>
    </row>
    <row r="369" spans="2:21">
      <c r="B369" s="15">
        <v>204438</v>
      </c>
      <c r="D369" s="15">
        <v>200</v>
      </c>
      <c r="E369" s="15" t="s">
        <v>465</v>
      </c>
      <c r="F369" s="15">
        <v>2018</v>
      </c>
      <c r="G369" s="364">
        <v>10</v>
      </c>
      <c r="H369" s="386">
        <v>0</v>
      </c>
      <c r="I369" s="387" t="s">
        <v>86</v>
      </c>
      <c r="J369" s="364">
        <v>7</v>
      </c>
      <c r="K369" s="388">
        <f t="shared" si="223"/>
        <v>2025</v>
      </c>
      <c r="L369" s="21">
        <f t="shared" si="224"/>
        <v>2025.8333333333333</v>
      </c>
      <c r="M369" s="365">
        <v>10739.7</v>
      </c>
      <c r="N369" s="19">
        <f t="shared" si="225"/>
        <v>10739.7</v>
      </c>
      <c r="O369" s="19">
        <f t="shared" si="226"/>
        <v>127.85357142857144</v>
      </c>
      <c r="P369" s="19">
        <f t="shared" si="227"/>
        <v>1534.2428571428572</v>
      </c>
      <c r="Q369" s="419">
        <f t="shared" si="228"/>
        <v>1534.2428571428572</v>
      </c>
      <c r="R369" s="101"/>
      <c r="S369" s="390">
        <f t="shared" si="229"/>
        <v>6776.2392857144023</v>
      </c>
      <c r="T369" s="19">
        <f t="shared" si="230"/>
        <v>8310.4821428572595</v>
      </c>
      <c r="U369" s="19">
        <f t="shared" si="231"/>
        <v>2429.2178571427412</v>
      </c>
    </row>
    <row r="370" spans="2:21">
      <c r="B370" s="15">
        <v>204436</v>
      </c>
      <c r="D370" s="15">
        <v>200</v>
      </c>
      <c r="E370" s="15" t="s">
        <v>466</v>
      </c>
      <c r="F370" s="15">
        <v>2018</v>
      </c>
      <c r="G370" s="364">
        <v>10</v>
      </c>
      <c r="H370" s="386">
        <v>0</v>
      </c>
      <c r="I370" s="387" t="s">
        <v>86</v>
      </c>
      <c r="J370" s="364">
        <v>7</v>
      </c>
      <c r="K370" s="388">
        <f t="shared" si="223"/>
        <v>2025</v>
      </c>
      <c r="L370" s="21">
        <f t="shared" si="224"/>
        <v>2025.8333333333333</v>
      </c>
      <c r="M370" s="365">
        <v>9491.9</v>
      </c>
      <c r="N370" s="19">
        <f t="shared" si="225"/>
        <v>9491.9</v>
      </c>
      <c r="O370" s="19">
        <f t="shared" si="226"/>
        <v>112.99880952380953</v>
      </c>
      <c r="P370" s="19">
        <f t="shared" si="227"/>
        <v>1355.9857142857143</v>
      </c>
      <c r="Q370" s="419">
        <f t="shared" si="228"/>
        <v>1355.9857142857143</v>
      </c>
      <c r="R370" s="101"/>
      <c r="S370" s="390">
        <f t="shared" si="229"/>
        <v>5988.9369047620075</v>
      </c>
      <c r="T370" s="19">
        <f t="shared" si="230"/>
        <v>7344.922619047722</v>
      </c>
      <c r="U370" s="19">
        <f t="shared" si="231"/>
        <v>2146.9773809522776</v>
      </c>
    </row>
    <row r="371" spans="2:21">
      <c r="B371" s="15">
        <v>217679</v>
      </c>
      <c r="D371" s="15">
        <v>824</v>
      </c>
      <c r="E371" s="15" t="s">
        <v>529</v>
      </c>
      <c r="F371" s="15">
        <v>2019</v>
      </c>
      <c r="G371" s="364">
        <v>7</v>
      </c>
      <c r="H371" s="386">
        <v>0</v>
      </c>
      <c r="I371" s="387" t="s">
        <v>86</v>
      </c>
      <c r="J371" s="364">
        <v>7</v>
      </c>
      <c r="K371" s="388">
        <f t="shared" si="223"/>
        <v>2026</v>
      </c>
      <c r="L371" s="21">
        <f t="shared" si="224"/>
        <v>2026.5833333333333</v>
      </c>
      <c r="M371" s="365">
        <v>41754.129999999997</v>
      </c>
      <c r="N371" s="19">
        <f t="shared" si="225"/>
        <v>41754.129999999997</v>
      </c>
      <c r="O371" s="19">
        <f t="shared" si="226"/>
        <v>497.07297619047614</v>
      </c>
      <c r="P371" s="19">
        <f t="shared" si="227"/>
        <v>5964.8757142857139</v>
      </c>
      <c r="Q371" s="419">
        <f t="shared" si="228"/>
        <v>5964.8757142857139</v>
      </c>
      <c r="R371" s="101"/>
      <c r="S371" s="390">
        <f t="shared" si="229"/>
        <v>21871.210952381403</v>
      </c>
      <c r="T371" s="19">
        <f t="shared" si="230"/>
        <v>27836.086666667117</v>
      </c>
      <c r="U371" s="19">
        <f t="shared" si="231"/>
        <v>13918.04333333288</v>
      </c>
    </row>
    <row r="372" spans="2:21">
      <c r="B372" s="15">
        <v>222641</v>
      </c>
      <c r="D372" s="15">
        <v>288</v>
      </c>
      <c r="E372" s="15" t="s">
        <v>548</v>
      </c>
      <c r="F372" s="15">
        <v>2019</v>
      </c>
      <c r="G372" s="364">
        <v>10</v>
      </c>
      <c r="H372" s="386">
        <v>0</v>
      </c>
      <c r="I372" s="387" t="s">
        <v>86</v>
      </c>
      <c r="J372" s="364">
        <v>7</v>
      </c>
      <c r="K372" s="388">
        <f t="shared" si="223"/>
        <v>2026</v>
      </c>
      <c r="L372" s="21">
        <f t="shared" si="224"/>
        <v>2026.8333333333333</v>
      </c>
      <c r="M372" s="365">
        <v>12739.9</v>
      </c>
      <c r="N372" s="19">
        <f t="shared" si="225"/>
        <v>12739.9</v>
      </c>
      <c r="O372" s="19">
        <f t="shared" si="226"/>
        <v>151.6654761904762</v>
      </c>
      <c r="P372" s="19">
        <f t="shared" si="227"/>
        <v>1819.9857142857145</v>
      </c>
      <c r="Q372" s="419">
        <f t="shared" si="228"/>
        <v>1819.9857142857145</v>
      </c>
      <c r="R372" s="101"/>
      <c r="S372" s="390">
        <f t="shared" si="229"/>
        <v>6218.2845238096606</v>
      </c>
      <c r="T372" s="19">
        <f t="shared" si="230"/>
        <v>8038.2702380953751</v>
      </c>
      <c r="U372" s="19">
        <f t="shared" si="231"/>
        <v>4701.6297619046245</v>
      </c>
    </row>
    <row r="373" spans="2:21">
      <c r="B373" s="15">
        <v>222639</v>
      </c>
      <c r="D373" s="15">
        <v>100</v>
      </c>
      <c r="E373" s="15" t="s">
        <v>529</v>
      </c>
      <c r="F373" s="15">
        <v>2019</v>
      </c>
      <c r="G373" s="364">
        <v>10</v>
      </c>
      <c r="H373" s="386">
        <v>0</v>
      </c>
      <c r="I373" s="387" t="s">
        <v>86</v>
      </c>
      <c r="J373" s="364">
        <v>7</v>
      </c>
      <c r="K373" s="388">
        <f t="shared" si="223"/>
        <v>2026</v>
      </c>
      <c r="L373" s="21">
        <f t="shared" si="224"/>
        <v>2026.8333333333333</v>
      </c>
      <c r="M373" s="365">
        <v>4823.57</v>
      </c>
      <c r="N373" s="19">
        <f t="shared" si="225"/>
        <v>4823.57</v>
      </c>
      <c r="O373" s="19">
        <f t="shared" si="226"/>
        <v>57.423452380952376</v>
      </c>
      <c r="P373" s="19">
        <f t="shared" si="227"/>
        <v>689.08142857142855</v>
      </c>
      <c r="Q373" s="419">
        <f t="shared" si="228"/>
        <v>689.08142857142855</v>
      </c>
      <c r="R373" s="101"/>
      <c r="S373" s="390">
        <f t="shared" si="229"/>
        <v>2354.3615476190998</v>
      </c>
      <c r="T373" s="19">
        <f t="shared" si="230"/>
        <v>3043.4429761905285</v>
      </c>
      <c r="U373" s="19">
        <f t="shared" si="231"/>
        <v>1780.1270238094712</v>
      </c>
    </row>
    <row r="374" spans="2:21">
      <c r="B374" s="15">
        <v>234066</v>
      </c>
      <c r="D374" s="15">
        <v>312</v>
      </c>
      <c r="E374" s="15" t="s">
        <v>529</v>
      </c>
      <c r="F374" s="15">
        <v>2020</v>
      </c>
      <c r="G374" s="364">
        <v>6</v>
      </c>
      <c r="H374" s="386">
        <v>0</v>
      </c>
      <c r="I374" s="387" t="s">
        <v>86</v>
      </c>
      <c r="J374" s="364">
        <v>7</v>
      </c>
      <c r="K374" s="388">
        <f t="shared" si="223"/>
        <v>2027</v>
      </c>
      <c r="L374" s="21">
        <f t="shared" si="224"/>
        <v>2027.5</v>
      </c>
      <c r="M374" s="365">
        <v>12863.76</v>
      </c>
      <c r="N374" s="19">
        <f t="shared" si="225"/>
        <v>12863.76</v>
      </c>
      <c r="O374" s="19">
        <f t="shared" si="226"/>
        <v>153.14000000000001</v>
      </c>
      <c r="P374" s="19">
        <f t="shared" si="227"/>
        <v>1837.6800000000003</v>
      </c>
      <c r="Q374" s="419">
        <f t="shared" si="228"/>
        <v>1837.6800000000003</v>
      </c>
      <c r="R374" s="101"/>
      <c r="S374" s="390">
        <f t="shared" si="229"/>
        <v>5053.62</v>
      </c>
      <c r="T374" s="19">
        <f t="shared" si="230"/>
        <v>6891.3</v>
      </c>
      <c r="U374" s="19">
        <f t="shared" si="231"/>
        <v>5972.46</v>
      </c>
    </row>
    <row r="375" spans="2:21">
      <c r="B375" s="15">
        <v>238420</v>
      </c>
      <c r="D375" s="15">
        <v>350</v>
      </c>
      <c r="E375" s="15" t="s">
        <v>567</v>
      </c>
      <c r="F375" s="15">
        <v>2020</v>
      </c>
      <c r="G375" s="364">
        <v>9</v>
      </c>
      <c r="H375" s="386">
        <v>0</v>
      </c>
      <c r="I375" s="387" t="s">
        <v>86</v>
      </c>
      <c r="J375" s="364">
        <v>7</v>
      </c>
      <c r="K375" s="388">
        <f t="shared" si="223"/>
        <v>2027</v>
      </c>
      <c r="L375" s="21">
        <f t="shared" si="224"/>
        <v>2027.75</v>
      </c>
      <c r="M375" s="365">
        <v>14976.73</v>
      </c>
      <c r="N375" s="19">
        <f t="shared" si="225"/>
        <v>14976.73</v>
      </c>
      <c r="O375" s="19">
        <f t="shared" si="226"/>
        <v>178.29440476190476</v>
      </c>
      <c r="P375" s="19">
        <f t="shared" si="227"/>
        <v>2139.5328571428572</v>
      </c>
      <c r="Q375" s="419">
        <f t="shared" si="228"/>
        <v>2139.5328571428572</v>
      </c>
      <c r="R375" s="101"/>
      <c r="S375" s="390">
        <f t="shared" si="229"/>
        <v>5348.8321428571435</v>
      </c>
      <c r="T375" s="19">
        <f t="shared" si="230"/>
        <v>7488.3650000000007</v>
      </c>
      <c r="U375" s="19">
        <f t="shared" si="231"/>
        <v>7488.3649999999989</v>
      </c>
    </row>
    <row r="376" spans="2:21">
      <c r="B376" s="15">
        <v>243340</v>
      </c>
      <c r="D376" s="15">
        <v>426</v>
      </c>
      <c r="E376" s="15" t="s">
        <v>567</v>
      </c>
      <c r="F376" s="15">
        <v>2020</v>
      </c>
      <c r="G376" s="364">
        <v>11</v>
      </c>
      <c r="H376" s="386">
        <v>0</v>
      </c>
      <c r="I376" s="387" t="s">
        <v>86</v>
      </c>
      <c r="J376" s="364">
        <v>7</v>
      </c>
      <c r="K376" s="388">
        <f t="shared" si="223"/>
        <v>2027</v>
      </c>
      <c r="L376" s="21">
        <f t="shared" si="224"/>
        <v>2027.9166666666667</v>
      </c>
      <c r="M376" s="365">
        <v>19200.2</v>
      </c>
      <c r="N376" s="19">
        <f t="shared" si="225"/>
        <v>19200.2</v>
      </c>
      <c r="O376" s="19">
        <f t="shared" si="226"/>
        <v>228.57380952380956</v>
      </c>
      <c r="P376" s="19">
        <f t="shared" si="227"/>
        <v>2742.8857142857146</v>
      </c>
      <c r="Q376" s="419">
        <f t="shared" si="228"/>
        <v>2742.8857142857146</v>
      </c>
      <c r="R376" s="101"/>
      <c r="S376" s="390">
        <f t="shared" si="229"/>
        <v>6400.0666666664583</v>
      </c>
      <c r="T376" s="19">
        <f t="shared" si="230"/>
        <v>9142.9523809521725</v>
      </c>
      <c r="U376" s="19">
        <f t="shared" si="231"/>
        <v>10057.247619047828</v>
      </c>
    </row>
    <row r="377" spans="2:21">
      <c r="E377" s="16"/>
      <c r="H377" s="386"/>
      <c r="I377" s="387"/>
      <c r="K377" s="388"/>
      <c r="L377" s="21"/>
      <c r="M377" s="429"/>
      <c r="N377" s="429"/>
      <c r="O377" s="429"/>
      <c r="P377" s="429"/>
      <c r="Q377" s="429"/>
      <c r="R377" s="429"/>
      <c r="S377" s="429"/>
      <c r="T377" s="429"/>
      <c r="U377" s="429"/>
    </row>
    <row r="378" spans="2:21">
      <c r="E378" s="406" t="s">
        <v>650</v>
      </c>
      <c r="F378" s="413"/>
      <c r="G378" s="414"/>
      <c r="H378" s="415"/>
      <c r="I378" s="416"/>
      <c r="J378" s="414"/>
      <c r="K378" s="417"/>
      <c r="L378" s="54"/>
      <c r="M378" s="421">
        <f>SUM(M366:M377)</f>
        <v>175335.82000000004</v>
      </c>
      <c r="N378" s="421">
        <f t="shared" ref="N378:U378" si="232">SUM(N366:N377)</f>
        <v>175335.82000000004</v>
      </c>
      <c r="O378" s="421">
        <f t="shared" si="232"/>
        <v>2087.3311904761904</v>
      </c>
      <c r="P378" s="421">
        <f t="shared" si="232"/>
        <v>25047.974285714288</v>
      </c>
      <c r="Q378" s="421">
        <f t="shared" si="232"/>
        <v>25047.974285714288</v>
      </c>
      <c r="R378" s="421">
        <f t="shared" si="232"/>
        <v>0</v>
      </c>
      <c r="S378" s="421">
        <f t="shared" si="232"/>
        <v>93532.064285715125</v>
      </c>
      <c r="T378" s="421">
        <f t="shared" si="232"/>
        <v>118580.03857142944</v>
      </c>
      <c r="U378" s="421">
        <f t="shared" si="232"/>
        <v>56755.781428570568</v>
      </c>
    </row>
    <row r="379" spans="2:21">
      <c r="E379" s="16"/>
      <c r="H379" s="386"/>
      <c r="I379" s="387"/>
      <c r="K379" s="388"/>
      <c r="L379" s="21"/>
      <c r="M379" s="429"/>
      <c r="N379" s="429"/>
      <c r="O379" s="429"/>
      <c r="P379" s="429"/>
      <c r="Q379" s="429"/>
      <c r="R379" s="429"/>
      <c r="S379" s="429"/>
      <c r="T379" s="429"/>
      <c r="U379" s="429"/>
    </row>
    <row r="380" spans="2:21">
      <c r="E380" s="16"/>
      <c r="H380" s="386"/>
      <c r="I380" s="387"/>
      <c r="K380" s="388"/>
      <c r="L380" s="21"/>
      <c r="M380" s="429"/>
      <c r="N380" s="429"/>
      <c r="O380" s="429"/>
      <c r="P380" s="429"/>
      <c r="Q380" s="429"/>
      <c r="R380" s="429"/>
      <c r="S380" s="429"/>
      <c r="T380" s="429"/>
      <c r="U380" s="429"/>
    </row>
    <row r="381" spans="2:21">
      <c r="E381" s="16"/>
      <c r="H381" s="386"/>
      <c r="I381" s="387"/>
      <c r="K381" s="388"/>
      <c r="L381" s="21"/>
      <c r="M381" s="429"/>
      <c r="N381" s="429"/>
      <c r="O381" s="429"/>
      <c r="P381" s="429"/>
      <c r="Q381" s="429"/>
      <c r="R381" s="429"/>
      <c r="S381" s="429"/>
      <c r="T381" s="429"/>
      <c r="U381" s="429"/>
    </row>
    <row r="382" spans="2:21">
      <c r="E382" s="16"/>
      <c r="H382" s="386"/>
      <c r="I382" s="387"/>
      <c r="K382" s="388"/>
      <c r="L382" s="21"/>
      <c r="M382" s="429"/>
      <c r="N382" s="429"/>
      <c r="O382" s="429"/>
      <c r="P382" s="47"/>
      <c r="Q382" s="47"/>
      <c r="R382" s="429"/>
      <c r="S382" s="429"/>
      <c r="T382" s="429"/>
      <c r="U382" s="429"/>
    </row>
    <row r="383" spans="2:21">
      <c r="D383" s="16"/>
      <c r="E383" s="16"/>
      <c r="I383" s="387"/>
      <c r="K383" s="388"/>
      <c r="L383" s="21"/>
      <c r="M383" s="429" t="s">
        <v>2</v>
      </c>
      <c r="N383" s="430"/>
      <c r="O383" s="430"/>
      <c r="P383" s="47"/>
      <c r="Q383" s="47"/>
      <c r="R383" s="430"/>
      <c r="S383" s="430"/>
      <c r="T383" s="430"/>
      <c r="U383" s="430"/>
    </row>
    <row r="384" spans="2:21">
      <c r="D384" s="16"/>
      <c r="E384" s="427" t="s">
        <v>216</v>
      </c>
      <c r="I384" s="387"/>
      <c r="K384" s="388"/>
      <c r="L384" s="21"/>
      <c r="M384" s="429"/>
      <c r="N384" s="430"/>
      <c r="O384" s="430"/>
      <c r="P384" s="47"/>
      <c r="Q384" s="47"/>
      <c r="R384" s="430"/>
      <c r="S384" s="430"/>
      <c r="T384" s="430"/>
      <c r="U384" s="430"/>
    </row>
    <row r="385" spans="2:21">
      <c r="D385" s="15">
        <v>300</v>
      </c>
      <c r="E385" s="385" t="s">
        <v>217</v>
      </c>
      <c r="F385" s="15">
        <v>1995</v>
      </c>
      <c r="G385" s="364">
        <v>8</v>
      </c>
      <c r="H385" s="386">
        <v>0</v>
      </c>
      <c r="I385" s="387" t="s">
        <v>86</v>
      </c>
      <c r="J385" s="364">
        <v>10</v>
      </c>
      <c r="K385" s="388">
        <f t="shared" ref="K385:K395" si="233">F385+J385</f>
        <v>2005</v>
      </c>
      <c r="L385" s="21">
        <f t="shared" si="199"/>
        <v>2005.6666666666667</v>
      </c>
      <c r="M385" s="365">
        <v>20585</v>
      </c>
      <c r="N385" s="366">
        <f t="shared" ref="N385:N395" si="234">M385-M385*H385</f>
        <v>20585</v>
      </c>
      <c r="O385" s="366">
        <f t="shared" ref="O385:O395" si="235">N385/J385/12</f>
        <v>171.54166666666666</v>
      </c>
      <c r="P385" s="19">
        <f t="shared" ref="P385:P395" si="236">+O385*12</f>
        <v>2058.5</v>
      </c>
      <c r="Q385" s="419">
        <f t="shared" ref="Q385:Q395" si="237">+IF(L385&gt;$N$6,P385,0)</f>
        <v>0</v>
      </c>
      <c r="R385" s="101"/>
      <c r="S385" s="390">
        <f t="shared" ref="S385:S395" si="238">+IF($L385&lt;=$N$7,$M385,IF(($F385+($G385/12))&gt;=$N$7,0,((($N385-((($L385-$N$7)*12)*$O385))))))</f>
        <v>20585</v>
      </c>
      <c r="T385" s="19">
        <f t="shared" ref="T385:T395" si="239">IF(L385&lt;=$N$6,M385,Q385+S385)</f>
        <v>20585</v>
      </c>
      <c r="U385" s="19">
        <f t="shared" ref="U385:U395" si="240">+M385-T385</f>
        <v>0</v>
      </c>
    </row>
    <row r="386" spans="2:21">
      <c r="D386" s="15">
        <v>100</v>
      </c>
      <c r="E386" s="15" t="s">
        <v>218</v>
      </c>
      <c r="F386" s="15">
        <v>2008</v>
      </c>
      <c r="G386" s="364">
        <v>7</v>
      </c>
      <c r="H386" s="386">
        <v>0</v>
      </c>
      <c r="I386" s="387" t="s">
        <v>86</v>
      </c>
      <c r="J386" s="364">
        <v>10</v>
      </c>
      <c r="K386" s="388">
        <f t="shared" si="233"/>
        <v>2018</v>
      </c>
      <c r="L386" s="21">
        <f t="shared" si="199"/>
        <v>2018.5833333333333</v>
      </c>
      <c r="M386" s="365">
        <f>4850+732.5+407.4</f>
        <v>5989.9</v>
      </c>
      <c r="N386" s="366">
        <f t="shared" si="234"/>
        <v>5989.9</v>
      </c>
      <c r="O386" s="366">
        <f t="shared" si="235"/>
        <v>49.915833333333332</v>
      </c>
      <c r="P386" s="19">
        <f t="shared" si="236"/>
        <v>598.99</v>
      </c>
      <c r="Q386" s="419">
        <f t="shared" si="237"/>
        <v>0</v>
      </c>
      <c r="R386" s="101"/>
      <c r="S386" s="390">
        <f t="shared" si="238"/>
        <v>5989.9</v>
      </c>
      <c r="T386" s="19">
        <f t="shared" si="239"/>
        <v>5989.9</v>
      </c>
      <c r="U386" s="19">
        <f t="shared" si="240"/>
        <v>0</v>
      </c>
    </row>
    <row r="387" spans="2:21">
      <c r="D387" s="15">
        <v>100</v>
      </c>
      <c r="E387" s="15" t="s">
        <v>218</v>
      </c>
      <c r="F387" s="15">
        <v>2010</v>
      </c>
      <c r="G387" s="364">
        <v>8</v>
      </c>
      <c r="H387" s="386">
        <v>0</v>
      </c>
      <c r="I387" s="387" t="s">
        <v>86</v>
      </c>
      <c r="J387" s="364">
        <v>10</v>
      </c>
      <c r="K387" s="388">
        <f t="shared" si="233"/>
        <v>2020</v>
      </c>
      <c r="L387" s="21">
        <f t="shared" si="199"/>
        <v>2020.6666666666667</v>
      </c>
      <c r="M387" s="365">
        <v>5983.8</v>
      </c>
      <c r="N387" s="366">
        <f t="shared" si="234"/>
        <v>5983.8</v>
      </c>
      <c r="O387" s="366">
        <f t="shared" si="235"/>
        <v>49.865000000000002</v>
      </c>
      <c r="P387" s="19">
        <f t="shared" si="236"/>
        <v>598.38</v>
      </c>
      <c r="Q387" s="419">
        <f t="shared" si="237"/>
        <v>0</v>
      </c>
      <c r="R387" s="101"/>
      <c r="S387" s="390">
        <f t="shared" si="238"/>
        <v>5983.8</v>
      </c>
      <c r="T387" s="19">
        <f t="shared" si="239"/>
        <v>5983.8</v>
      </c>
      <c r="U387" s="19">
        <f t="shared" si="240"/>
        <v>0</v>
      </c>
    </row>
    <row r="388" spans="2:21">
      <c r="D388" s="15">
        <v>2</v>
      </c>
      <c r="E388" s="432" t="s">
        <v>175</v>
      </c>
      <c r="F388" s="15">
        <v>1996</v>
      </c>
      <c r="G388" s="364">
        <v>7</v>
      </c>
      <c r="H388" s="386">
        <v>0</v>
      </c>
      <c r="I388" s="387" t="s">
        <v>86</v>
      </c>
      <c r="J388" s="364">
        <v>10</v>
      </c>
      <c r="K388" s="388">
        <f t="shared" si="233"/>
        <v>2006</v>
      </c>
      <c r="L388" s="21">
        <f t="shared" si="199"/>
        <v>2006.5833333333333</v>
      </c>
      <c r="M388" s="365">
        <v>5440</v>
      </c>
      <c r="N388" s="366">
        <f t="shared" si="234"/>
        <v>5440</v>
      </c>
      <c r="O388" s="366">
        <f t="shared" si="235"/>
        <v>45.333333333333336</v>
      </c>
      <c r="P388" s="19">
        <f t="shared" si="236"/>
        <v>544</v>
      </c>
      <c r="Q388" s="419">
        <f t="shared" si="237"/>
        <v>0</v>
      </c>
      <c r="R388" s="101"/>
      <c r="S388" s="390">
        <f t="shared" si="238"/>
        <v>5440</v>
      </c>
      <c r="T388" s="19">
        <f t="shared" si="239"/>
        <v>5440</v>
      </c>
      <c r="U388" s="19">
        <f t="shared" si="240"/>
        <v>0</v>
      </c>
    </row>
    <row r="389" spans="2:21">
      <c r="D389" s="15">
        <v>5</v>
      </c>
      <c r="E389" s="428" t="s">
        <v>187</v>
      </c>
      <c r="F389" s="15">
        <v>2002</v>
      </c>
      <c r="G389" s="364">
        <v>12</v>
      </c>
      <c r="H389" s="386">
        <v>0</v>
      </c>
      <c r="I389" s="387" t="s">
        <v>86</v>
      </c>
      <c r="J389" s="364">
        <v>10</v>
      </c>
      <c r="K389" s="388">
        <f t="shared" si="233"/>
        <v>2012</v>
      </c>
      <c r="L389" s="21">
        <f t="shared" si="199"/>
        <v>2013</v>
      </c>
      <c r="M389" s="365">
        <f>16328/2</f>
        <v>8164</v>
      </c>
      <c r="N389" s="366">
        <f t="shared" si="234"/>
        <v>8164</v>
      </c>
      <c r="O389" s="366">
        <f t="shared" si="235"/>
        <v>68.033333333333331</v>
      </c>
      <c r="P389" s="19">
        <f t="shared" si="236"/>
        <v>816.4</v>
      </c>
      <c r="Q389" s="419">
        <f t="shared" si="237"/>
        <v>0</v>
      </c>
      <c r="R389" s="101"/>
      <c r="S389" s="390">
        <f t="shared" si="238"/>
        <v>8164</v>
      </c>
      <c r="T389" s="19">
        <f t="shared" si="239"/>
        <v>8164</v>
      </c>
      <c r="U389" s="19">
        <f t="shared" si="240"/>
        <v>0</v>
      </c>
    </row>
    <row r="390" spans="2:21">
      <c r="D390" s="15">
        <v>2</v>
      </c>
      <c r="E390" s="428" t="s">
        <v>219</v>
      </c>
      <c r="F390" s="15">
        <v>2004</v>
      </c>
      <c r="G390" s="364">
        <v>10</v>
      </c>
      <c r="H390" s="386">
        <v>0</v>
      </c>
      <c r="I390" s="387" t="s">
        <v>86</v>
      </c>
      <c r="J390" s="364">
        <v>10</v>
      </c>
      <c r="K390" s="388">
        <f t="shared" si="233"/>
        <v>2014</v>
      </c>
      <c r="L390" s="21">
        <f t="shared" si="199"/>
        <v>2014.8333333333333</v>
      </c>
      <c r="M390" s="365">
        <v>7123</v>
      </c>
      <c r="N390" s="366">
        <f t="shared" si="234"/>
        <v>7123</v>
      </c>
      <c r="O390" s="366">
        <f t="shared" si="235"/>
        <v>59.358333333333327</v>
      </c>
      <c r="P390" s="19">
        <f t="shared" si="236"/>
        <v>712.3</v>
      </c>
      <c r="Q390" s="419">
        <f t="shared" si="237"/>
        <v>0</v>
      </c>
      <c r="R390" s="101"/>
      <c r="S390" s="390">
        <f t="shared" si="238"/>
        <v>7123</v>
      </c>
      <c r="T390" s="19">
        <f t="shared" si="239"/>
        <v>7123</v>
      </c>
      <c r="U390" s="19">
        <f t="shared" si="240"/>
        <v>0</v>
      </c>
    </row>
    <row r="391" spans="2:21">
      <c r="D391" s="15">
        <v>1</v>
      </c>
      <c r="E391" s="428" t="s">
        <v>220</v>
      </c>
      <c r="F391" s="15">
        <v>2008</v>
      </c>
      <c r="G391" s="364">
        <v>6</v>
      </c>
      <c r="H391" s="386">
        <v>0</v>
      </c>
      <c r="I391" s="387" t="s">
        <v>86</v>
      </c>
      <c r="J391" s="364">
        <v>10</v>
      </c>
      <c r="K391" s="388">
        <f t="shared" si="233"/>
        <v>2018</v>
      </c>
      <c r="L391" s="21">
        <f t="shared" si="199"/>
        <v>2018.5</v>
      </c>
      <c r="M391" s="365">
        <v>4899</v>
      </c>
      <c r="N391" s="366">
        <f t="shared" si="234"/>
        <v>4899</v>
      </c>
      <c r="O391" s="366">
        <f t="shared" si="235"/>
        <v>40.824999999999996</v>
      </c>
      <c r="P391" s="19">
        <f t="shared" si="236"/>
        <v>489.9</v>
      </c>
      <c r="Q391" s="419">
        <f t="shared" si="237"/>
        <v>0</v>
      </c>
      <c r="R391" s="101"/>
      <c r="S391" s="390">
        <f t="shared" si="238"/>
        <v>4899</v>
      </c>
      <c r="T391" s="19">
        <f t="shared" si="239"/>
        <v>4899</v>
      </c>
      <c r="U391" s="19">
        <f t="shared" si="240"/>
        <v>0</v>
      </c>
    </row>
    <row r="392" spans="2:21">
      <c r="D392" s="15">
        <v>3</v>
      </c>
      <c r="E392" s="428" t="s">
        <v>335</v>
      </c>
      <c r="F392" s="15">
        <v>2015</v>
      </c>
      <c r="G392" s="364">
        <v>11</v>
      </c>
      <c r="H392" s="386">
        <v>0</v>
      </c>
      <c r="I392" s="387" t="s">
        <v>86</v>
      </c>
      <c r="J392" s="364">
        <v>10</v>
      </c>
      <c r="K392" s="388">
        <f t="shared" si="233"/>
        <v>2025</v>
      </c>
      <c r="L392" s="21">
        <f t="shared" si="199"/>
        <v>2025.9166666666667</v>
      </c>
      <c r="M392" s="365">
        <v>17780</v>
      </c>
      <c r="N392" s="366">
        <f t="shared" si="234"/>
        <v>17780</v>
      </c>
      <c r="O392" s="366">
        <f t="shared" si="235"/>
        <v>148.16666666666666</v>
      </c>
      <c r="P392" s="19">
        <f t="shared" si="236"/>
        <v>1778</v>
      </c>
      <c r="Q392" s="419">
        <f t="shared" si="237"/>
        <v>1778</v>
      </c>
      <c r="R392" s="101"/>
      <c r="S392" s="390">
        <f t="shared" si="238"/>
        <v>13038.666666666533</v>
      </c>
      <c r="T392" s="19">
        <f t="shared" si="239"/>
        <v>14816.666666666533</v>
      </c>
      <c r="U392" s="19">
        <f t="shared" si="240"/>
        <v>2963.3333333334667</v>
      </c>
    </row>
    <row r="393" spans="2:21">
      <c r="B393" s="15">
        <v>129381</v>
      </c>
      <c r="D393" s="15">
        <v>3</v>
      </c>
      <c r="E393" s="428" t="s">
        <v>335</v>
      </c>
      <c r="F393" s="15">
        <v>2016</v>
      </c>
      <c r="G393" s="364">
        <v>1</v>
      </c>
      <c r="H393" s="386">
        <v>0</v>
      </c>
      <c r="I393" s="387" t="s">
        <v>86</v>
      </c>
      <c r="J393" s="364">
        <v>10</v>
      </c>
      <c r="K393" s="388">
        <f t="shared" si="233"/>
        <v>2026</v>
      </c>
      <c r="L393" s="21">
        <f t="shared" si="199"/>
        <v>2026.0833333333333</v>
      </c>
      <c r="M393" s="365">
        <v>35560</v>
      </c>
      <c r="N393" s="366">
        <f t="shared" si="234"/>
        <v>35560</v>
      </c>
      <c r="O393" s="366">
        <f t="shared" si="235"/>
        <v>296.33333333333331</v>
      </c>
      <c r="P393" s="19">
        <f t="shared" si="236"/>
        <v>3556</v>
      </c>
      <c r="Q393" s="419">
        <f t="shared" si="237"/>
        <v>3556</v>
      </c>
      <c r="R393" s="101"/>
      <c r="S393" s="390">
        <f t="shared" si="238"/>
        <v>25484.666666666937</v>
      </c>
      <c r="T393" s="19">
        <f t="shared" si="239"/>
        <v>29040.666666666937</v>
      </c>
      <c r="U393" s="19">
        <f t="shared" si="240"/>
        <v>6519.3333333330629</v>
      </c>
    </row>
    <row r="394" spans="2:21">
      <c r="B394" s="15" t="s">
        <v>336</v>
      </c>
      <c r="D394" s="15">
        <v>18</v>
      </c>
      <c r="E394" s="428" t="s">
        <v>335</v>
      </c>
      <c r="F394" s="15">
        <v>2016</v>
      </c>
      <c r="G394" s="364">
        <v>2</v>
      </c>
      <c r="H394" s="386">
        <v>0</v>
      </c>
      <c r="I394" s="387" t="s">
        <v>86</v>
      </c>
      <c r="J394" s="364">
        <v>10</v>
      </c>
      <c r="K394" s="388">
        <f t="shared" si="233"/>
        <v>2026</v>
      </c>
      <c r="L394" s="21">
        <f t="shared" si="199"/>
        <v>2026.1666666666667</v>
      </c>
      <c r="M394" s="365">
        <f>17780+55830+6106.67+11853.33+19190</f>
        <v>110760</v>
      </c>
      <c r="N394" s="366">
        <f t="shared" si="234"/>
        <v>110760</v>
      </c>
      <c r="O394" s="366">
        <f t="shared" si="235"/>
        <v>923</v>
      </c>
      <c r="P394" s="19">
        <f t="shared" si="236"/>
        <v>11076</v>
      </c>
      <c r="Q394" s="419">
        <f t="shared" si="237"/>
        <v>11076</v>
      </c>
      <c r="R394" s="101"/>
      <c r="S394" s="390">
        <f t="shared" si="238"/>
        <v>78454.999999999156</v>
      </c>
      <c r="T394" s="19">
        <f t="shared" si="239"/>
        <v>89530.999999999156</v>
      </c>
      <c r="U394" s="19">
        <f t="shared" si="240"/>
        <v>21229.000000000844</v>
      </c>
    </row>
    <row r="395" spans="2:21">
      <c r="B395" s="15">
        <v>132005</v>
      </c>
      <c r="E395" s="428" t="s">
        <v>335</v>
      </c>
      <c r="F395" s="15">
        <v>2016</v>
      </c>
      <c r="G395" s="364">
        <v>1</v>
      </c>
      <c r="H395" s="386">
        <v>0</v>
      </c>
      <c r="I395" s="387" t="s">
        <v>86</v>
      </c>
      <c r="J395" s="364">
        <v>10</v>
      </c>
      <c r="K395" s="388">
        <f t="shared" si="233"/>
        <v>2026</v>
      </c>
      <c r="L395" s="21">
        <f t="shared" si="199"/>
        <v>2026.0833333333333</v>
      </c>
      <c r="M395" s="365">
        <v>17780</v>
      </c>
      <c r="N395" s="366">
        <f t="shared" si="234"/>
        <v>17780</v>
      </c>
      <c r="O395" s="366">
        <f t="shared" si="235"/>
        <v>148.16666666666666</v>
      </c>
      <c r="P395" s="19">
        <f t="shared" si="236"/>
        <v>1778</v>
      </c>
      <c r="Q395" s="419">
        <f t="shared" si="237"/>
        <v>1778</v>
      </c>
      <c r="R395" s="101"/>
      <c r="S395" s="390">
        <f t="shared" si="238"/>
        <v>12742.333333333469</v>
      </c>
      <c r="T395" s="19">
        <f t="shared" si="239"/>
        <v>14520.333333333469</v>
      </c>
      <c r="U395" s="19">
        <f t="shared" si="240"/>
        <v>3259.6666666665315</v>
      </c>
    </row>
    <row r="396" spans="2:21">
      <c r="H396" s="386"/>
      <c r="I396" s="387"/>
      <c r="K396" s="388"/>
      <c r="L396" s="21"/>
      <c r="N396" s="366"/>
      <c r="O396" s="366"/>
      <c r="P396" s="19"/>
      <c r="Q396" s="19"/>
      <c r="R396" s="366"/>
      <c r="S396" s="366"/>
      <c r="T396" s="366"/>
      <c r="U396" s="366"/>
    </row>
    <row r="397" spans="2:21">
      <c r="D397" s="16"/>
      <c r="E397" s="406" t="s">
        <v>651</v>
      </c>
      <c r="F397" s="413"/>
      <c r="G397" s="414"/>
      <c r="H397" s="414"/>
      <c r="I397" s="416"/>
      <c r="J397" s="414"/>
      <c r="K397" s="417"/>
      <c r="L397" s="54"/>
      <c r="M397" s="421">
        <f t="shared" ref="M397:U397" si="241">SUM(M385:M396)</f>
        <v>240064.7</v>
      </c>
      <c r="N397" s="421">
        <f t="shared" si="241"/>
        <v>240064.7</v>
      </c>
      <c r="O397" s="421">
        <f t="shared" si="241"/>
        <v>2000.5391666666667</v>
      </c>
      <c r="P397" s="421">
        <f t="shared" si="241"/>
        <v>24006.47</v>
      </c>
      <c r="Q397" s="421">
        <f t="shared" si="241"/>
        <v>18188</v>
      </c>
      <c r="R397" s="421">
        <f t="shared" si="241"/>
        <v>0</v>
      </c>
      <c r="S397" s="421">
        <f t="shared" si="241"/>
        <v>187905.36666666609</v>
      </c>
      <c r="T397" s="421">
        <f t="shared" si="241"/>
        <v>206093.36666666609</v>
      </c>
      <c r="U397" s="421">
        <f t="shared" si="241"/>
        <v>33971.333333333903</v>
      </c>
    </row>
    <row r="398" spans="2:21">
      <c r="D398" s="16"/>
      <c r="E398" s="16"/>
      <c r="I398" s="387"/>
      <c r="K398" s="388"/>
      <c r="L398" s="21"/>
      <c r="M398" s="429"/>
      <c r="N398" s="430"/>
      <c r="O398" s="430"/>
      <c r="P398" s="47"/>
      <c r="Q398" s="47"/>
      <c r="R398" s="430"/>
      <c r="S398" s="430"/>
      <c r="T398" s="430"/>
      <c r="U398" s="430"/>
    </row>
    <row r="399" spans="2:21">
      <c r="D399" s="16"/>
      <c r="E399" s="427" t="s">
        <v>431</v>
      </c>
      <c r="I399" s="387"/>
      <c r="K399" s="388"/>
      <c r="L399" s="21"/>
      <c r="M399" s="429"/>
      <c r="N399" s="430"/>
      <c r="O399" s="430"/>
      <c r="P399" s="47"/>
      <c r="Q399" s="47"/>
      <c r="R399" s="430"/>
      <c r="S399" s="430"/>
      <c r="T399" s="430"/>
      <c r="U399" s="430"/>
    </row>
    <row r="400" spans="2:21">
      <c r="B400" s="15">
        <v>183698</v>
      </c>
      <c r="D400" s="15">
        <v>1120</v>
      </c>
      <c r="E400" s="15" t="s">
        <v>362</v>
      </c>
      <c r="F400" s="15">
        <v>2017</v>
      </c>
      <c r="G400" s="364">
        <v>6</v>
      </c>
      <c r="H400" s="386">
        <v>0</v>
      </c>
      <c r="I400" s="387" t="s">
        <v>86</v>
      </c>
      <c r="J400" s="364">
        <v>5</v>
      </c>
      <c r="K400" s="388">
        <f>F400+J400</f>
        <v>2022</v>
      </c>
      <c r="L400" s="21">
        <f t="shared" si="199"/>
        <v>2022.5</v>
      </c>
      <c r="M400" s="365">
        <v>30380</v>
      </c>
      <c r="N400" s="366">
        <f>M400-M400*H400</f>
        <v>30380</v>
      </c>
      <c r="O400" s="366">
        <f>N400/J400/12</f>
        <v>506.33333333333331</v>
      </c>
      <c r="P400" s="19">
        <f t="shared" ref="P400:P403" si="242">+O400*12</f>
        <v>6076</v>
      </c>
      <c r="Q400" s="419">
        <f t="shared" ref="Q400" si="243">+IF(L400&gt;$N$6,P400,0)</f>
        <v>0</v>
      </c>
      <c r="R400" s="101"/>
      <c r="S400" s="390">
        <f t="shared" ref="S400" si="244">+IF($L400&lt;=$N$7,$M400,IF(($F400+($G400/12))&gt;=$N$7,0,((($N400-((($L400-$N$7)*12)*$O400))))))</f>
        <v>30380</v>
      </c>
      <c r="T400" s="19">
        <f t="shared" ref="T400:T403" si="245">IF(L400&lt;=$N$6,M400,Q400+S400)</f>
        <v>30380</v>
      </c>
      <c r="U400" s="19">
        <f t="shared" ref="U400" si="246">+M400-T400</f>
        <v>0</v>
      </c>
    </row>
    <row r="401" spans="2:21">
      <c r="B401" s="15">
        <v>183694</v>
      </c>
      <c r="D401" s="15">
        <v>215</v>
      </c>
      <c r="E401" s="15" t="s">
        <v>367</v>
      </c>
      <c r="F401" s="15">
        <v>2017</v>
      </c>
      <c r="G401" s="364">
        <v>6</v>
      </c>
      <c r="H401" s="386">
        <v>0</v>
      </c>
      <c r="I401" s="387" t="s">
        <v>86</v>
      </c>
      <c r="J401" s="364">
        <v>5</v>
      </c>
      <c r="K401" s="388">
        <f>F401+J401</f>
        <v>2022</v>
      </c>
      <c r="L401" s="21">
        <f t="shared" si="199"/>
        <v>2022.5</v>
      </c>
      <c r="M401" s="365">
        <v>6415.06</v>
      </c>
      <c r="N401" s="366">
        <f>M401-M401*H401</f>
        <v>6415.06</v>
      </c>
      <c r="O401" s="366">
        <f>N401/J401/12</f>
        <v>106.91766666666668</v>
      </c>
      <c r="P401" s="19">
        <f t="shared" si="242"/>
        <v>1283.0120000000002</v>
      </c>
      <c r="Q401" s="419">
        <f t="shared" ref="Q401:Q403" si="247">+IF(L401&gt;$N$6,P401,0)</f>
        <v>0</v>
      </c>
      <c r="R401" s="101"/>
      <c r="S401" s="390">
        <f t="shared" ref="S401:S403" si="248">+IF($L401&lt;=$N$7,$M401,IF(($F401+($G401/12))&gt;=$N$7,0,((($N401-((($L401-$N$7)*12)*$O401))))))</f>
        <v>6415.06</v>
      </c>
      <c r="T401" s="19">
        <f t="shared" si="245"/>
        <v>6415.06</v>
      </c>
      <c r="U401" s="19">
        <f t="shared" ref="U401:U403" si="249">+M401-T401</f>
        <v>0</v>
      </c>
    </row>
    <row r="402" spans="2:21">
      <c r="B402" s="15">
        <v>183696</v>
      </c>
      <c r="D402" s="15">
        <v>1120</v>
      </c>
      <c r="E402" s="428" t="s">
        <v>363</v>
      </c>
      <c r="F402" s="15">
        <v>2017</v>
      </c>
      <c r="G402" s="364">
        <v>6</v>
      </c>
      <c r="H402" s="386">
        <v>0</v>
      </c>
      <c r="I402" s="387" t="s">
        <v>86</v>
      </c>
      <c r="J402" s="364">
        <v>5</v>
      </c>
      <c r="K402" s="388">
        <f>F402+J402</f>
        <v>2022</v>
      </c>
      <c r="L402" s="21">
        <f t="shared" si="199"/>
        <v>2022.5</v>
      </c>
      <c r="M402" s="365">
        <v>30380</v>
      </c>
      <c r="N402" s="366">
        <f>M402-M402*H402</f>
        <v>30380</v>
      </c>
      <c r="O402" s="366">
        <f>N402/J402/12</f>
        <v>506.33333333333331</v>
      </c>
      <c r="P402" s="19">
        <f t="shared" si="242"/>
        <v>6076</v>
      </c>
      <c r="Q402" s="419">
        <f t="shared" si="247"/>
        <v>0</v>
      </c>
      <c r="R402" s="101"/>
      <c r="S402" s="390">
        <f t="shared" si="248"/>
        <v>30380</v>
      </c>
      <c r="T402" s="19">
        <f t="shared" si="245"/>
        <v>30380</v>
      </c>
      <c r="U402" s="19">
        <f t="shared" si="249"/>
        <v>0</v>
      </c>
    </row>
    <row r="403" spans="2:21">
      <c r="B403" s="15">
        <v>183689</v>
      </c>
      <c r="D403" s="15">
        <v>215</v>
      </c>
      <c r="E403" s="428" t="s">
        <v>374</v>
      </c>
      <c r="F403" s="15">
        <v>2017</v>
      </c>
      <c r="G403" s="364">
        <v>6</v>
      </c>
      <c r="H403" s="386">
        <v>0</v>
      </c>
      <c r="I403" s="387" t="s">
        <v>86</v>
      </c>
      <c r="J403" s="364">
        <v>5</v>
      </c>
      <c r="K403" s="388">
        <f>F403+J403</f>
        <v>2022</v>
      </c>
      <c r="L403" s="21">
        <f t="shared" si="199"/>
        <v>2022.5</v>
      </c>
      <c r="M403" s="365">
        <v>6415.06</v>
      </c>
      <c r="N403" s="366">
        <f>M403-M403*H403</f>
        <v>6415.06</v>
      </c>
      <c r="O403" s="366">
        <f>N403/J403/12</f>
        <v>106.91766666666668</v>
      </c>
      <c r="P403" s="19">
        <f t="shared" si="242"/>
        <v>1283.0120000000002</v>
      </c>
      <c r="Q403" s="419">
        <f t="shared" si="247"/>
        <v>0</v>
      </c>
      <c r="R403" s="101"/>
      <c r="S403" s="390">
        <f t="shared" si="248"/>
        <v>6415.06</v>
      </c>
      <c r="T403" s="19">
        <f t="shared" si="245"/>
        <v>6415.06</v>
      </c>
      <c r="U403" s="19">
        <f t="shared" si="249"/>
        <v>0</v>
      </c>
    </row>
    <row r="404" spans="2:21">
      <c r="D404" s="16"/>
      <c r="E404" s="16"/>
      <c r="I404" s="387"/>
      <c r="K404" s="388"/>
      <c r="L404" s="21"/>
      <c r="M404" s="429"/>
      <c r="N404" s="430"/>
      <c r="O404" s="430"/>
      <c r="P404" s="47"/>
      <c r="Q404" s="47"/>
      <c r="R404" s="430"/>
      <c r="S404" s="430"/>
      <c r="T404" s="430"/>
      <c r="U404" s="430"/>
    </row>
    <row r="405" spans="2:21">
      <c r="D405" s="16"/>
      <c r="E405" s="406" t="s">
        <v>652</v>
      </c>
      <c r="F405" s="413"/>
      <c r="G405" s="414"/>
      <c r="H405" s="414"/>
      <c r="I405" s="416"/>
      <c r="J405" s="414"/>
      <c r="K405" s="417"/>
      <c r="L405" s="54"/>
      <c r="M405" s="421">
        <f>+SUM(M400:M404)</f>
        <v>73590.12</v>
      </c>
      <c r="N405" s="421">
        <f t="shared" ref="N405:U405" si="250">+SUM(N400:N404)</f>
        <v>73590.12</v>
      </c>
      <c r="O405" s="421">
        <f t="shared" si="250"/>
        <v>1226.502</v>
      </c>
      <c r="P405" s="421">
        <f t="shared" si="250"/>
        <v>14718.024000000001</v>
      </c>
      <c r="Q405" s="421">
        <f t="shared" si="250"/>
        <v>0</v>
      </c>
      <c r="R405" s="421">
        <f t="shared" si="250"/>
        <v>0</v>
      </c>
      <c r="S405" s="421">
        <f t="shared" si="250"/>
        <v>73590.12</v>
      </c>
      <c r="T405" s="421">
        <f t="shared" si="250"/>
        <v>73590.12</v>
      </c>
      <c r="U405" s="421">
        <f t="shared" si="250"/>
        <v>0</v>
      </c>
    </row>
    <row r="406" spans="2:21">
      <c r="D406" s="16"/>
      <c r="E406" s="16"/>
      <c r="I406" s="387"/>
      <c r="K406" s="388"/>
      <c r="L406" s="21"/>
      <c r="M406" s="429"/>
      <c r="N406" s="430"/>
      <c r="O406" s="430"/>
      <c r="P406" s="47"/>
      <c r="Q406" s="47"/>
      <c r="R406" s="430"/>
      <c r="S406" s="430"/>
      <c r="T406" s="430"/>
      <c r="U406" s="430"/>
    </row>
    <row r="407" spans="2:21">
      <c r="D407" s="16"/>
      <c r="E407" s="16"/>
      <c r="I407" s="387"/>
      <c r="K407" s="388"/>
      <c r="L407" s="21"/>
      <c r="M407" s="429"/>
      <c r="N407" s="430"/>
      <c r="O407" s="430"/>
      <c r="P407" s="47"/>
      <c r="Q407" s="47"/>
      <c r="R407" s="430"/>
      <c r="S407" s="430"/>
      <c r="T407" s="430"/>
      <c r="U407" s="430"/>
    </row>
    <row r="408" spans="2:21">
      <c r="D408" s="16"/>
      <c r="E408" s="16"/>
      <c r="I408" s="387"/>
      <c r="K408" s="388"/>
      <c r="M408" s="15"/>
      <c r="P408" s="15"/>
      <c r="Q408" s="15"/>
    </row>
    <row r="409" spans="2:21">
      <c r="D409" s="16"/>
      <c r="E409" s="427" t="s">
        <v>364</v>
      </c>
      <c r="I409" s="387"/>
      <c r="K409" s="388"/>
      <c r="L409" s="21"/>
      <c r="M409" s="429"/>
      <c r="N409" s="430"/>
      <c r="O409" s="430"/>
      <c r="P409" s="47"/>
      <c r="Q409" s="47"/>
      <c r="R409" s="430"/>
      <c r="S409" s="430"/>
      <c r="T409" s="430"/>
      <c r="U409" s="430"/>
    </row>
    <row r="410" spans="2:21">
      <c r="B410" s="15">
        <v>183695</v>
      </c>
      <c r="D410" s="15">
        <v>1700</v>
      </c>
      <c r="E410" s="15" t="s">
        <v>366</v>
      </c>
      <c r="F410" s="15">
        <v>2017</v>
      </c>
      <c r="G410" s="364">
        <v>6</v>
      </c>
      <c r="H410" s="23">
        <v>0</v>
      </c>
      <c r="I410" s="387" t="s">
        <v>86</v>
      </c>
      <c r="J410" s="364">
        <v>5</v>
      </c>
      <c r="K410" s="388">
        <f t="shared" ref="K410:K416" si="251">F410+J410</f>
        <v>2022</v>
      </c>
      <c r="L410" s="21">
        <f t="shared" si="199"/>
        <v>2022.5</v>
      </c>
      <c r="M410" s="24">
        <v>46112.5</v>
      </c>
      <c r="N410" s="19">
        <f>M410-M410*H410</f>
        <v>46112.5</v>
      </c>
      <c r="O410" s="19">
        <f>N410/J410/12</f>
        <v>768.54166666666663</v>
      </c>
      <c r="P410" s="19">
        <f t="shared" ref="P410:P413" si="252">+O410*12</f>
        <v>9222.5</v>
      </c>
      <c r="Q410" s="419">
        <f t="shared" ref="Q410:Q416" si="253">+IF(L410&gt;$N$6,P410,0)</f>
        <v>0</v>
      </c>
      <c r="R410" s="101"/>
      <c r="S410" s="390">
        <f t="shared" ref="S410:S416" si="254">+IF($L410&lt;=$N$7,$M410,IF(($F410+($G410/12))&gt;=$N$7,0,((($N410-((($L410-$N$7)*12)*$O410))))))</f>
        <v>46112.5</v>
      </c>
      <c r="T410" s="19">
        <f t="shared" ref="T410:T416" si="255">IF(L410&lt;=$N$6,M410,Q410+S410)</f>
        <v>46112.5</v>
      </c>
      <c r="U410" s="19">
        <f t="shared" ref="U410:U416" si="256">+M410-T410</f>
        <v>0</v>
      </c>
    </row>
    <row r="411" spans="2:21">
      <c r="B411" s="15">
        <v>183693</v>
      </c>
      <c r="D411" s="15">
        <v>800</v>
      </c>
      <c r="E411" s="15" t="s">
        <v>368</v>
      </c>
      <c r="F411" s="15">
        <v>2017</v>
      </c>
      <c r="G411" s="364">
        <v>6</v>
      </c>
      <c r="H411" s="23">
        <v>0</v>
      </c>
      <c r="I411" s="387" t="s">
        <v>86</v>
      </c>
      <c r="J411" s="364">
        <v>5</v>
      </c>
      <c r="K411" s="388">
        <f t="shared" si="251"/>
        <v>2022</v>
      </c>
      <c r="L411" s="21">
        <f t="shared" si="199"/>
        <v>2022.5</v>
      </c>
      <c r="M411" s="24">
        <v>21700</v>
      </c>
      <c r="N411" s="19">
        <f>M411-M411*H411</f>
        <v>21700</v>
      </c>
      <c r="O411" s="19">
        <f>N411/J411/12</f>
        <v>361.66666666666669</v>
      </c>
      <c r="P411" s="19">
        <f t="shared" si="252"/>
        <v>4340</v>
      </c>
      <c r="Q411" s="419">
        <f t="shared" si="253"/>
        <v>0</v>
      </c>
      <c r="R411" s="101"/>
      <c r="S411" s="390">
        <f t="shared" si="254"/>
        <v>21700</v>
      </c>
      <c r="T411" s="19">
        <f t="shared" si="255"/>
        <v>21700</v>
      </c>
      <c r="U411" s="19">
        <f t="shared" si="256"/>
        <v>0</v>
      </c>
    </row>
    <row r="412" spans="2:21">
      <c r="B412" s="15">
        <v>183692</v>
      </c>
      <c r="D412" s="15">
        <v>650</v>
      </c>
      <c r="E412" s="15" t="s">
        <v>369</v>
      </c>
      <c r="F412" s="15">
        <v>2017</v>
      </c>
      <c r="G412" s="364">
        <v>6</v>
      </c>
      <c r="H412" s="23">
        <v>0</v>
      </c>
      <c r="I412" s="387" t="s">
        <v>86</v>
      </c>
      <c r="J412" s="364">
        <v>5</v>
      </c>
      <c r="K412" s="388">
        <f t="shared" si="251"/>
        <v>2022</v>
      </c>
      <c r="L412" s="21">
        <f t="shared" si="199"/>
        <v>2022.5</v>
      </c>
      <c r="M412" s="24">
        <v>17631.25</v>
      </c>
      <c r="N412" s="19">
        <f>M412-M412*H412</f>
        <v>17631.25</v>
      </c>
      <c r="O412" s="19">
        <f>N412/J412/12</f>
        <v>293.85416666666669</v>
      </c>
      <c r="P412" s="19">
        <f t="shared" si="252"/>
        <v>3526.25</v>
      </c>
      <c r="Q412" s="419">
        <f t="shared" si="253"/>
        <v>0</v>
      </c>
      <c r="R412" s="101"/>
      <c r="S412" s="390">
        <f t="shared" si="254"/>
        <v>17631.25</v>
      </c>
      <c r="T412" s="19">
        <f t="shared" si="255"/>
        <v>17631.25</v>
      </c>
      <c r="U412" s="19">
        <f t="shared" si="256"/>
        <v>0</v>
      </c>
    </row>
    <row r="413" spans="2:21">
      <c r="B413" s="15">
        <v>183697</v>
      </c>
      <c r="D413" s="15">
        <v>435</v>
      </c>
      <c r="E413" s="15" t="s">
        <v>389</v>
      </c>
      <c r="F413" s="15">
        <v>2017</v>
      </c>
      <c r="G413" s="364">
        <v>6</v>
      </c>
      <c r="H413" s="23">
        <v>0</v>
      </c>
      <c r="I413" s="387" t="s">
        <v>86</v>
      </c>
      <c r="J413" s="364">
        <v>5</v>
      </c>
      <c r="K413" s="388">
        <f t="shared" si="251"/>
        <v>2022</v>
      </c>
      <c r="L413" s="21">
        <f t="shared" si="199"/>
        <v>2022.5</v>
      </c>
      <c r="M413" s="24">
        <v>37975</v>
      </c>
      <c r="N413" s="19">
        <f>M413-M413*H413</f>
        <v>37975</v>
      </c>
      <c r="O413" s="19">
        <f>N413/J413/12</f>
        <v>632.91666666666663</v>
      </c>
      <c r="P413" s="19">
        <f t="shared" si="252"/>
        <v>7595</v>
      </c>
      <c r="Q413" s="419">
        <f t="shared" si="253"/>
        <v>0</v>
      </c>
      <c r="R413" s="101"/>
      <c r="S413" s="390">
        <f t="shared" si="254"/>
        <v>37975</v>
      </c>
      <c r="T413" s="19">
        <f t="shared" si="255"/>
        <v>37975</v>
      </c>
      <c r="U413" s="19">
        <f t="shared" si="256"/>
        <v>0</v>
      </c>
    </row>
    <row r="414" spans="2:21">
      <c r="B414" s="15">
        <v>201329</v>
      </c>
      <c r="D414" s="15">
        <v>25</v>
      </c>
      <c r="E414" s="15" t="s">
        <v>471</v>
      </c>
      <c r="F414" s="15">
        <v>2018</v>
      </c>
      <c r="G414" s="364">
        <v>7</v>
      </c>
      <c r="H414" s="23">
        <v>0</v>
      </c>
      <c r="I414" s="387" t="s">
        <v>86</v>
      </c>
      <c r="J414" s="364">
        <v>7</v>
      </c>
      <c r="K414" s="388">
        <f t="shared" si="251"/>
        <v>2025</v>
      </c>
      <c r="L414" s="21">
        <f t="shared" si="199"/>
        <v>2025.5833333333333</v>
      </c>
      <c r="M414" s="24">
        <v>7969.33</v>
      </c>
      <c r="N414" s="19">
        <f t="shared" ref="N414:N416" si="257">M414-M414*H414</f>
        <v>7969.33</v>
      </c>
      <c r="O414" s="19">
        <f t="shared" ref="O414:O416" si="258">N414/J414/12</f>
        <v>94.872976190476194</v>
      </c>
      <c r="P414" s="19">
        <f t="shared" ref="P414:P416" si="259">+O414*12</f>
        <v>1138.4757142857143</v>
      </c>
      <c r="Q414" s="419">
        <f t="shared" si="253"/>
        <v>1138.4757142857143</v>
      </c>
      <c r="R414" s="101"/>
      <c r="S414" s="390">
        <f t="shared" si="254"/>
        <v>5312.8866666667527</v>
      </c>
      <c r="T414" s="19">
        <f t="shared" si="255"/>
        <v>6451.362380952467</v>
      </c>
      <c r="U414" s="19">
        <f t="shared" si="256"/>
        <v>1517.9676190475329</v>
      </c>
    </row>
    <row r="415" spans="2:21">
      <c r="B415" s="15">
        <v>207443</v>
      </c>
      <c r="D415" s="15">
        <v>25</v>
      </c>
      <c r="E415" s="15" t="s">
        <v>472</v>
      </c>
      <c r="F415" s="15">
        <v>2018</v>
      </c>
      <c r="G415" s="364">
        <v>11</v>
      </c>
      <c r="H415" s="23">
        <v>0</v>
      </c>
      <c r="I415" s="387" t="s">
        <v>86</v>
      </c>
      <c r="J415" s="364">
        <v>7</v>
      </c>
      <c r="K415" s="388">
        <f t="shared" si="251"/>
        <v>2025</v>
      </c>
      <c r="L415" s="21">
        <f t="shared" si="199"/>
        <v>2025.9166666666667</v>
      </c>
      <c r="M415" s="24">
        <v>8023.58</v>
      </c>
      <c r="N415" s="19">
        <f t="shared" si="257"/>
        <v>8023.58</v>
      </c>
      <c r="O415" s="19">
        <f t="shared" si="258"/>
        <v>95.518809523809523</v>
      </c>
      <c r="P415" s="19">
        <f t="shared" si="259"/>
        <v>1146.2257142857143</v>
      </c>
      <c r="Q415" s="419">
        <f t="shared" si="253"/>
        <v>1146.2257142857143</v>
      </c>
      <c r="R415" s="101"/>
      <c r="S415" s="390">
        <f t="shared" si="254"/>
        <v>4966.9780952380079</v>
      </c>
      <c r="T415" s="19">
        <f t="shared" si="255"/>
        <v>6113.2038095237222</v>
      </c>
      <c r="U415" s="19">
        <f t="shared" si="256"/>
        <v>1910.3761904762778</v>
      </c>
    </row>
    <row r="416" spans="2:21">
      <c r="B416" s="15">
        <v>220354</v>
      </c>
      <c r="D416" s="15">
        <v>86</v>
      </c>
      <c r="E416" s="15" t="s">
        <v>547</v>
      </c>
      <c r="F416" s="15">
        <v>2019</v>
      </c>
      <c r="G416" s="364">
        <v>1</v>
      </c>
      <c r="H416" s="23">
        <v>0</v>
      </c>
      <c r="I416" s="387" t="s">
        <v>86</v>
      </c>
      <c r="J416" s="364">
        <v>7</v>
      </c>
      <c r="K416" s="388">
        <f t="shared" si="251"/>
        <v>2026</v>
      </c>
      <c r="L416" s="21">
        <f t="shared" si="199"/>
        <v>2026.0833333333333</v>
      </c>
      <c r="M416" s="24">
        <v>37416.01</v>
      </c>
      <c r="N416" s="19">
        <f t="shared" si="257"/>
        <v>37416.01</v>
      </c>
      <c r="O416" s="19">
        <f t="shared" si="258"/>
        <v>445.42869047619047</v>
      </c>
      <c r="P416" s="19">
        <f t="shared" si="259"/>
        <v>5345.1442857142856</v>
      </c>
      <c r="Q416" s="419">
        <f t="shared" si="253"/>
        <v>5345.1442857142856</v>
      </c>
      <c r="R416" s="101"/>
      <c r="S416" s="390">
        <f t="shared" si="254"/>
        <v>22271.43452380993</v>
      </c>
      <c r="T416" s="19">
        <f t="shared" si="255"/>
        <v>27616.578809524217</v>
      </c>
      <c r="U416" s="19">
        <f t="shared" si="256"/>
        <v>9799.4311904757851</v>
      </c>
    </row>
    <row r="417" spans="2:21">
      <c r="D417" s="16"/>
      <c r="E417" s="16"/>
      <c r="H417" s="23"/>
      <c r="I417" s="387"/>
      <c r="K417" s="388"/>
      <c r="L417" s="21"/>
      <c r="M417" s="429"/>
      <c r="N417" s="430"/>
      <c r="O417" s="430"/>
      <c r="P417" s="47"/>
      <c r="Q417" s="47"/>
      <c r="R417" s="430"/>
      <c r="S417" s="430"/>
      <c r="T417" s="430"/>
      <c r="U417" s="430"/>
    </row>
    <row r="418" spans="2:21">
      <c r="D418" s="16"/>
      <c r="E418" s="406" t="s">
        <v>653</v>
      </c>
      <c r="F418" s="413"/>
      <c r="G418" s="414"/>
      <c r="H418" s="414"/>
      <c r="I418" s="416"/>
      <c r="J418" s="414"/>
      <c r="K418" s="417"/>
      <c r="L418" s="54"/>
      <c r="M418" s="421">
        <f>+SUM(M410:M417)</f>
        <v>176827.66999999998</v>
      </c>
      <c r="N418" s="421">
        <f t="shared" ref="N418:U418" si="260">+SUM(N410:N417)</f>
        <v>176827.66999999998</v>
      </c>
      <c r="O418" s="421">
        <f t="shared" si="260"/>
        <v>2692.7996428571423</v>
      </c>
      <c r="P418" s="421">
        <f t="shared" si="260"/>
        <v>32313.595714285711</v>
      </c>
      <c r="Q418" s="421">
        <f t="shared" si="260"/>
        <v>7629.8457142857142</v>
      </c>
      <c r="R418" s="421">
        <f t="shared" si="260"/>
        <v>0</v>
      </c>
      <c r="S418" s="421">
        <f t="shared" si="260"/>
        <v>155970.04928571469</v>
      </c>
      <c r="T418" s="421">
        <f t="shared" si="260"/>
        <v>163599.8950000004</v>
      </c>
      <c r="U418" s="421">
        <f t="shared" si="260"/>
        <v>13227.774999999596</v>
      </c>
    </row>
    <row r="419" spans="2:21">
      <c r="D419" s="16"/>
      <c r="E419" s="16"/>
      <c r="H419" s="23"/>
      <c r="I419" s="387"/>
      <c r="K419" s="388"/>
      <c r="L419" s="21"/>
      <c r="M419" s="429"/>
      <c r="N419" s="429"/>
      <c r="O419" s="429"/>
      <c r="P419" s="47"/>
      <c r="Q419" s="47"/>
      <c r="R419" s="430"/>
      <c r="S419" s="429"/>
      <c r="T419" s="429"/>
      <c r="U419" s="429"/>
    </row>
    <row r="420" spans="2:21">
      <c r="D420" s="16"/>
      <c r="E420" s="16" t="s">
        <v>370</v>
      </c>
      <c r="H420" s="23"/>
      <c r="I420" s="387"/>
      <c r="K420" s="388"/>
      <c r="L420" s="21"/>
      <c r="M420" s="429"/>
      <c r="N420" s="429"/>
      <c r="O420" s="429"/>
      <c r="P420" s="47"/>
      <c r="Q420" s="47"/>
      <c r="R420" s="430"/>
      <c r="S420" s="429"/>
      <c r="T420" s="429"/>
      <c r="U420" s="429"/>
    </row>
    <row r="421" spans="2:21">
      <c r="B421" s="15">
        <v>183691</v>
      </c>
      <c r="D421" s="15">
        <v>550</v>
      </c>
      <c r="E421" s="15" t="s">
        <v>371</v>
      </c>
      <c r="F421" s="15">
        <v>2017</v>
      </c>
      <c r="G421" s="364">
        <v>6</v>
      </c>
      <c r="H421" s="23">
        <v>0</v>
      </c>
      <c r="I421" s="387" t="s">
        <v>86</v>
      </c>
      <c r="J421" s="364">
        <v>5</v>
      </c>
      <c r="K421" s="388">
        <f>F421+J421</f>
        <v>2022</v>
      </c>
      <c r="L421" s="21">
        <f t="shared" ref="L421:L470" si="261">+K421+(G421/12)</f>
        <v>2022.5</v>
      </c>
      <c r="M421" s="365">
        <v>16410.63</v>
      </c>
      <c r="N421" s="366">
        <f>M421-M421*H421</f>
        <v>16410.63</v>
      </c>
      <c r="O421" s="366">
        <f>N421/J421/12</f>
        <v>273.51050000000004</v>
      </c>
      <c r="P421" s="19">
        <f t="shared" ref="P421" si="262">+O421*12</f>
        <v>3282.1260000000002</v>
      </c>
      <c r="Q421" s="419">
        <f t="shared" ref="Q421:Q422" si="263">+IF(L421&gt;$N$6,P421,0)</f>
        <v>0</v>
      </c>
      <c r="R421" s="101"/>
      <c r="S421" s="390">
        <f t="shared" ref="S421:S422" si="264">+IF($L421&lt;=$N$7,$M421,IF(($F421+($G421/12))&gt;=$N$7,0,((($N421-((($L421-$N$7)*12)*$O421))))))</f>
        <v>16410.63</v>
      </c>
      <c r="T421" s="19">
        <f t="shared" ref="T421:T422" si="265">IF(L421&lt;=$N$6,M421,Q421+S421)</f>
        <v>16410.63</v>
      </c>
      <c r="U421" s="19">
        <f t="shared" ref="U421:U422" si="266">+M421-T421</f>
        <v>0</v>
      </c>
    </row>
    <row r="422" spans="2:21">
      <c r="B422" s="15">
        <v>195624</v>
      </c>
      <c r="D422" s="15">
        <v>50</v>
      </c>
      <c r="E422" s="15" t="s">
        <v>473</v>
      </c>
      <c r="F422" s="15">
        <v>2018</v>
      </c>
      <c r="G422" s="364">
        <v>4</v>
      </c>
      <c r="H422" s="23">
        <v>0</v>
      </c>
      <c r="I422" s="387" t="s">
        <v>86</v>
      </c>
      <c r="J422" s="364">
        <v>7</v>
      </c>
      <c r="K422" s="388">
        <f>F422+J422</f>
        <v>2025</v>
      </c>
      <c r="L422" s="21">
        <f t="shared" ref="L422" si="267">+K422+(G422/12)</f>
        <v>2025.3333333333333</v>
      </c>
      <c r="M422" s="24">
        <v>3660.96</v>
      </c>
      <c r="N422" s="19">
        <f>M422-M422*H422</f>
        <v>3660.96</v>
      </c>
      <c r="O422" s="19">
        <f>N422/J422/12</f>
        <v>43.582857142857144</v>
      </c>
      <c r="P422" s="19">
        <f t="shared" ref="P422" si="268">+O422*12</f>
        <v>522.99428571428575</v>
      </c>
      <c r="Q422" s="419">
        <f t="shared" si="263"/>
        <v>522.99428571428575</v>
      </c>
      <c r="R422" s="101"/>
      <c r="S422" s="390">
        <f t="shared" si="264"/>
        <v>2571.3885714286112</v>
      </c>
      <c r="T422" s="19">
        <f t="shared" si="265"/>
        <v>3094.3828571428967</v>
      </c>
      <c r="U422" s="19">
        <f t="shared" si="266"/>
        <v>566.57714285710335</v>
      </c>
    </row>
    <row r="423" spans="2:21">
      <c r="H423" s="23"/>
      <c r="I423" s="387"/>
      <c r="K423" s="388"/>
      <c r="L423" s="21"/>
      <c r="N423" s="366"/>
      <c r="O423" s="366"/>
      <c r="P423" s="19"/>
      <c r="Q423" s="19"/>
      <c r="R423" s="366"/>
      <c r="S423" s="366"/>
      <c r="T423" s="366"/>
      <c r="U423" s="366"/>
    </row>
    <row r="424" spans="2:21">
      <c r="D424" s="16"/>
      <c r="E424" s="406" t="s">
        <v>653</v>
      </c>
      <c r="F424" s="413"/>
      <c r="G424" s="414"/>
      <c r="H424" s="414"/>
      <c r="I424" s="416"/>
      <c r="J424" s="414"/>
      <c r="K424" s="417"/>
      <c r="L424" s="54"/>
      <c r="M424" s="421">
        <f>+SUM(M421:M423)</f>
        <v>20071.59</v>
      </c>
      <c r="N424" s="421">
        <f t="shared" ref="N424:U424" si="269">+SUM(N421:N423)</f>
        <v>20071.59</v>
      </c>
      <c r="O424" s="421">
        <f t="shared" si="269"/>
        <v>317.0933571428572</v>
      </c>
      <c r="P424" s="421">
        <f t="shared" si="269"/>
        <v>3805.1202857142862</v>
      </c>
      <c r="Q424" s="421">
        <f t="shared" si="269"/>
        <v>522.99428571428575</v>
      </c>
      <c r="R424" s="421">
        <f t="shared" si="269"/>
        <v>0</v>
      </c>
      <c r="S424" s="421">
        <f t="shared" si="269"/>
        <v>18982.018571428613</v>
      </c>
      <c r="T424" s="421">
        <f t="shared" si="269"/>
        <v>19505.012857142898</v>
      </c>
      <c r="U424" s="421">
        <f t="shared" si="269"/>
        <v>566.57714285710335</v>
      </c>
    </row>
    <row r="425" spans="2:21">
      <c r="D425" s="16"/>
      <c r="E425" s="16"/>
      <c r="H425" s="23"/>
      <c r="I425" s="387"/>
      <c r="K425" s="388"/>
      <c r="L425" s="21"/>
      <c r="M425" s="429"/>
      <c r="N425" s="429"/>
      <c r="O425" s="429"/>
      <c r="P425" s="47"/>
      <c r="Q425" s="47"/>
      <c r="R425" s="430"/>
      <c r="S425" s="429"/>
      <c r="T425" s="429"/>
      <c r="U425" s="429"/>
    </row>
    <row r="426" spans="2:21">
      <c r="D426" s="16"/>
      <c r="E426" s="16" t="s">
        <v>372</v>
      </c>
      <c r="H426" s="23"/>
      <c r="I426" s="387"/>
      <c r="K426" s="388"/>
      <c r="L426" s="21"/>
      <c r="M426" s="429"/>
      <c r="N426" s="429"/>
      <c r="O426" s="429"/>
      <c r="P426" s="47"/>
      <c r="Q426" s="47"/>
      <c r="R426" s="430"/>
      <c r="S426" s="429"/>
      <c r="T426" s="429"/>
      <c r="U426" s="429"/>
    </row>
    <row r="427" spans="2:21">
      <c r="B427" s="15">
        <v>183690</v>
      </c>
      <c r="D427" s="15">
        <v>4</v>
      </c>
      <c r="E427" s="15" t="s">
        <v>373</v>
      </c>
      <c r="F427" s="15">
        <v>2017</v>
      </c>
      <c r="G427" s="364">
        <v>6</v>
      </c>
      <c r="H427" s="23">
        <v>0</v>
      </c>
      <c r="I427" s="387" t="s">
        <v>86</v>
      </c>
      <c r="J427" s="364">
        <v>7</v>
      </c>
      <c r="K427" s="388">
        <f>F427+J427</f>
        <v>2024</v>
      </c>
      <c r="L427" s="21">
        <f t="shared" si="261"/>
        <v>2024.5</v>
      </c>
      <c r="M427" s="365">
        <v>24000</v>
      </c>
      <c r="N427" s="366">
        <f>M427-M427*H427</f>
        <v>24000</v>
      </c>
      <c r="O427" s="366">
        <f>N427/J427/12</f>
        <v>285.71428571428572</v>
      </c>
      <c r="P427" s="19">
        <f t="shared" ref="P427" si="270">+O427*12</f>
        <v>3428.5714285714284</v>
      </c>
      <c r="Q427" s="419">
        <f t="shared" ref="Q427" si="271">+IF(L427&gt;$N$6,P427,0)</f>
        <v>3428.5714285714284</v>
      </c>
      <c r="R427" s="101"/>
      <c r="S427" s="390">
        <f t="shared" ref="S427" si="272">+IF($L427&lt;=$N$7,$M427,IF(($F427+($G427/12))&gt;=$N$7,0,((($N427-((($L427-$N$7)*12)*$O427))))))</f>
        <v>19714.285714285714</v>
      </c>
      <c r="T427" s="19">
        <f>IF(L427&lt;=$N$6,M427,Q427+S427)</f>
        <v>23142.857142857141</v>
      </c>
      <c r="U427" s="19">
        <f t="shared" ref="U427" si="273">+M427-T427</f>
        <v>857.1428571428587</v>
      </c>
    </row>
    <row r="428" spans="2:21">
      <c r="I428" s="387"/>
      <c r="K428" s="388"/>
      <c r="L428" s="21"/>
      <c r="N428" s="366"/>
      <c r="O428" s="366"/>
      <c r="P428" s="19"/>
      <c r="Q428" s="19"/>
      <c r="R428" s="366"/>
      <c r="S428" s="366"/>
      <c r="T428" s="366"/>
      <c r="U428" s="366"/>
    </row>
    <row r="429" spans="2:21">
      <c r="D429" s="16"/>
      <c r="E429" s="406" t="s">
        <v>654</v>
      </c>
      <c r="F429" s="413"/>
      <c r="G429" s="414"/>
      <c r="H429" s="414"/>
      <c r="I429" s="416"/>
      <c r="J429" s="414"/>
      <c r="K429" s="417"/>
      <c r="L429" s="54"/>
      <c r="M429" s="421">
        <f>+SUM(M427:M428)</f>
        <v>24000</v>
      </c>
      <c r="N429" s="421">
        <f t="shared" ref="N429:U429" si="274">+SUM(N427:N428)</f>
        <v>24000</v>
      </c>
      <c r="O429" s="421">
        <f t="shared" si="274"/>
        <v>285.71428571428572</v>
      </c>
      <c r="P429" s="421">
        <f t="shared" si="274"/>
        <v>3428.5714285714284</v>
      </c>
      <c r="Q429" s="421">
        <f t="shared" si="274"/>
        <v>3428.5714285714284</v>
      </c>
      <c r="R429" s="421">
        <f t="shared" si="274"/>
        <v>0</v>
      </c>
      <c r="S429" s="421">
        <f t="shared" si="274"/>
        <v>19714.285714285714</v>
      </c>
      <c r="T429" s="421">
        <f t="shared" si="274"/>
        <v>23142.857142857141</v>
      </c>
      <c r="U429" s="421">
        <f t="shared" si="274"/>
        <v>857.1428571428587</v>
      </c>
    </row>
    <row r="430" spans="2:21">
      <c r="D430" s="16"/>
      <c r="E430" s="16" t="s">
        <v>2</v>
      </c>
      <c r="I430" s="387"/>
      <c r="K430" s="388"/>
      <c r="L430" s="21"/>
      <c r="M430" s="429"/>
      <c r="N430" s="429"/>
      <c r="O430" s="429"/>
      <c r="P430" s="47"/>
      <c r="Q430" s="47"/>
      <c r="R430" s="429"/>
      <c r="S430" s="429"/>
      <c r="T430" s="429"/>
      <c r="U430" s="429"/>
    </row>
    <row r="431" spans="2:21">
      <c r="D431" s="16"/>
      <c r="E431" s="406" t="s">
        <v>221</v>
      </c>
      <c r="F431" s="413"/>
      <c r="G431" s="414"/>
      <c r="H431" s="414"/>
      <c r="I431" s="416"/>
      <c r="J431" s="414"/>
      <c r="K431" s="417"/>
      <c r="L431" s="54"/>
      <c r="M431" s="421">
        <f>M213+M274+M320+M335+M397+M405+M418+M424+M429+M363+M378</f>
        <v>3455616.7195726493</v>
      </c>
      <c r="N431" s="421">
        <f t="shared" ref="N431:U431" si="275">N213+N274+N320+N335+N397+N405+N418+N424+N429+N363+N378</f>
        <v>3455616.7195726493</v>
      </c>
      <c r="O431" s="421">
        <f t="shared" si="275"/>
        <v>34337.395290547414</v>
      </c>
      <c r="P431" s="421">
        <f t="shared" si="275"/>
        <v>412048.74348656897</v>
      </c>
      <c r="Q431" s="421">
        <f t="shared" si="275"/>
        <v>168021.43440476194</v>
      </c>
      <c r="R431" s="421">
        <f t="shared" si="275"/>
        <v>0</v>
      </c>
      <c r="S431" s="421">
        <f t="shared" si="275"/>
        <v>2842898.1073682848</v>
      </c>
      <c r="T431" s="421">
        <f t="shared" si="275"/>
        <v>3024948.8931778097</v>
      </c>
      <c r="U431" s="421">
        <f t="shared" si="275"/>
        <v>430667.82639484009</v>
      </c>
    </row>
    <row r="432" spans="2:21">
      <c r="E432" s="16"/>
      <c r="I432" s="387"/>
      <c r="K432" s="388"/>
      <c r="L432" s="21"/>
      <c r="N432" s="366"/>
      <c r="O432" s="366"/>
      <c r="P432" s="19"/>
      <c r="Q432" s="19"/>
      <c r="R432" s="366"/>
      <c r="S432" s="366"/>
      <c r="T432" s="366"/>
      <c r="U432" s="366"/>
    </row>
    <row r="433" spans="1:24">
      <c r="E433" s="427" t="s">
        <v>222</v>
      </c>
      <c r="I433" s="387"/>
      <c r="K433" s="388"/>
      <c r="L433" s="21"/>
      <c r="N433" s="366"/>
      <c r="O433" s="366"/>
      <c r="P433" s="19">
        <f t="shared" ref="P433" si="276">+O433*12</f>
        <v>0</v>
      </c>
      <c r="Q433" s="19"/>
      <c r="R433" s="366"/>
      <c r="S433" s="366"/>
      <c r="T433" s="366"/>
      <c r="U433" s="366"/>
    </row>
    <row r="434" spans="1:24">
      <c r="B434" s="15">
        <v>205264</v>
      </c>
      <c r="E434" s="15" t="s">
        <v>485</v>
      </c>
      <c r="F434" s="15">
        <v>2008</v>
      </c>
      <c r="G434" s="364">
        <v>11</v>
      </c>
      <c r="H434" s="23">
        <v>0</v>
      </c>
      <c r="I434" s="387" t="s">
        <v>86</v>
      </c>
      <c r="J434" s="364">
        <v>3</v>
      </c>
      <c r="K434" s="388">
        <f>F434+J434</f>
        <v>2011</v>
      </c>
      <c r="L434" s="21">
        <f t="shared" si="261"/>
        <v>2011.9166666666667</v>
      </c>
      <c r="M434" s="24">
        <v>3000</v>
      </c>
      <c r="N434" s="19">
        <f>M434-M434*H434</f>
        <v>3000</v>
      </c>
      <c r="O434" s="19">
        <f>N434/J434/12</f>
        <v>83.333333333333329</v>
      </c>
      <c r="P434" s="19">
        <f t="shared" ref="P434:P435" si="277">+O434*12</f>
        <v>1000</v>
      </c>
      <c r="Q434" s="419">
        <f t="shared" ref="Q434:Q435" si="278">+IF(L434&gt;$N$6,P434,0)</f>
        <v>0</v>
      </c>
      <c r="R434" s="101"/>
      <c r="S434" s="390">
        <f t="shared" ref="S434:S435" si="279">+IF($L434&lt;=$N$7,$M434,IF(($F434+($G434/12))&gt;=$N$7,0,((($N434-((($L434-$N$7)*12)*$O434))))))</f>
        <v>3000</v>
      </c>
      <c r="T434" s="19">
        <f t="shared" ref="T434:T435" si="280">IF(L434&lt;=$N$6,M434,Q434+S434)</f>
        <v>3000</v>
      </c>
      <c r="U434" s="19">
        <f t="shared" ref="U434:U435" si="281">+M434-T434</f>
        <v>0</v>
      </c>
    </row>
    <row r="435" spans="1:24">
      <c r="B435" s="15">
        <v>213239</v>
      </c>
      <c r="D435" s="15">
        <v>101</v>
      </c>
      <c r="E435" s="15" t="s">
        <v>532</v>
      </c>
      <c r="F435" s="15">
        <v>2016</v>
      </c>
      <c r="G435" s="364">
        <v>8</v>
      </c>
      <c r="H435" s="23">
        <v>0</v>
      </c>
      <c r="I435" s="387" t="s">
        <v>86</v>
      </c>
      <c r="J435" s="364">
        <v>3</v>
      </c>
      <c r="K435" s="388">
        <f>F435+J435</f>
        <v>2019</v>
      </c>
      <c r="L435" s="21">
        <f t="shared" si="261"/>
        <v>2019.6666666666667</v>
      </c>
      <c r="M435" s="24">
        <v>28923.599999999999</v>
      </c>
      <c r="N435" s="19">
        <f>M435-M435*H435</f>
        <v>28923.599999999999</v>
      </c>
      <c r="O435" s="19">
        <f>N435/J435/12</f>
        <v>803.43333333333328</v>
      </c>
      <c r="P435" s="19">
        <f t="shared" si="277"/>
        <v>9641.1999999999989</v>
      </c>
      <c r="Q435" s="419">
        <f t="shared" si="278"/>
        <v>0</v>
      </c>
      <c r="R435" s="101"/>
      <c r="S435" s="390">
        <f t="shared" si="279"/>
        <v>28923.599999999999</v>
      </c>
      <c r="T435" s="19">
        <f t="shared" si="280"/>
        <v>28923.599999999999</v>
      </c>
      <c r="U435" s="19">
        <f t="shared" si="281"/>
        <v>0</v>
      </c>
    </row>
    <row r="436" spans="1:24">
      <c r="C436" s="364"/>
      <c r="D436" s="388"/>
      <c r="E436" s="385"/>
      <c r="H436" s="386"/>
      <c r="I436" s="387"/>
      <c r="K436" s="388"/>
      <c r="L436" s="21"/>
      <c r="N436" s="366"/>
      <c r="O436" s="366"/>
      <c r="P436" s="19"/>
      <c r="Q436" s="19"/>
      <c r="R436" s="366"/>
      <c r="S436" s="366"/>
      <c r="T436" s="366"/>
      <c r="U436" s="366"/>
    </row>
    <row r="437" spans="1:24" s="16" customFormat="1">
      <c r="E437" s="412" t="s">
        <v>226</v>
      </c>
      <c r="F437" s="406"/>
      <c r="G437" s="405"/>
      <c r="H437" s="420"/>
      <c r="I437" s="404"/>
      <c r="J437" s="405"/>
      <c r="K437" s="403"/>
      <c r="L437" s="54"/>
      <c r="M437" s="421">
        <f>+SUM(M434:M436)</f>
        <v>31923.599999999999</v>
      </c>
      <c r="N437" s="421">
        <f t="shared" ref="N437:U437" si="282">+SUM(N434:N436)</f>
        <v>31923.599999999999</v>
      </c>
      <c r="O437" s="421">
        <f t="shared" si="282"/>
        <v>886.76666666666665</v>
      </c>
      <c r="P437" s="421">
        <f t="shared" si="282"/>
        <v>10641.199999999999</v>
      </c>
      <c r="Q437" s="421">
        <f t="shared" si="282"/>
        <v>0</v>
      </c>
      <c r="R437" s="421">
        <f t="shared" si="282"/>
        <v>0</v>
      </c>
      <c r="S437" s="421">
        <f t="shared" si="282"/>
        <v>31923.599999999999</v>
      </c>
      <c r="T437" s="421">
        <f t="shared" si="282"/>
        <v>31923.599999999999</v>
      </c>
      <c r="U437" s="421">
        <f t="shared" si="282"/>
        <v>0</v>
      </c>
      <c r="V437" s="407"/>
    </row>
    <row r="438" spans="1:24">
      <c r="E438" s="16"/>
      <c r="I438" s="387"/>
      <c r="K438" s="388"/>
      <c r="L438" s="21"/>
      <c r="N438" s="366"/>
      <c r="O438" s="366"/>
      <c r="P438" s="19"/>
      <c r="Q438" s="19"/>
      <c r="R438" s="366"/>
      <c r="S438" s="366"/>
      <c r="T438" s="366"/>
      <c r="U438" s="366"/>
    </row>
    <row r="439" spans="1:24">
      <c r="I439" s="387"/>
      <c r="K439" s="388"/>
      <c r="L439" s="21"/>
      <c r="N439" s="366"/>
      <c r="O439" s="366"/>
      <c r="P439" s="19"/>
      <c r="Q439" s="19"/>
      <c r="R439" s="366"/>
      <c r="S439" s="366"/>
      <c r="T439" s="366"/>
      <c r="U439" s="366"/>
    </row>
    <row r="440" spans="1:24">
      <c r="E440" s="427" t="s">
        <v>655</v>
      </c>
      <c r="I440" s="387"/>
      <c r="K440" s="388"/>
      <c r="L440" s="21"/>
      <c r="N440" s="366"/>
      <c r="O440" s="366"/>
      <c r="P440" s="19"/>
      <c r="Q440" s="19"/>
      <c r="R440" s="366"/>
      <c r="S440" s="366"/>
      <c r="T440" s="366"/>
      <c r="U440" s="366"/>
    </row>
    <row r="441" spans="1:24">
      <c r="E441" s="385" t="s">
        <v>233</v>
      </c>
      <c r="F441" s="15">
        <v>2005</v>
      </c>
      <c r="G441" s="364">
        <v>5</v>
      </c>
      <c r="H441" s="386">
        <v>0</v>
      </c>
      <c r="I441" s="387" t="s">
        <v>86</v>
      </c>
      <c r="J441" s="364">
        <v>7</v>
      </c>
      <c r="K441" s="388">
        <f t="shared" ref="K441:K472" si="283">F441+J441</f>
        <v>2012</v>
      </c>
      <c r="L441" s="21">
        <f t="shared" si="261"/>
        <v>2012.4166666666667</v>
      </c>
      <c r="M441" s="365">
        <f>+'Depreciation - Orig.'!P419</f>
        <v>34293.759999999995</v>
      </c>
      <c r="N441" s="19">
        <f t="shared" ref="N441:N472" si="284">M441-M441*H441</f>
        <v>34293.759999999995</v>
      </c>
      <c r="O441" s="19">
        <f t="shared" ref="O441:O472" si="285">N441/J441/12</f>
        <v>408.25904761904758</v>
      </c>
      <c r="P441" s="19">
        <f t="shared" ref="P441:P472" si="286">+O441*12</f>
        <v>4899.1085714285709</v>
      </c>
      <c r="Q441" s="419">
        <f t="shared" ref="Q441:Q477" si="287">+IF(L441&gt;$N$6,P441,0)</f>
        <v>0</v>
      </c>
      <c r="R441" s="101"/>
      <c r="S441" s="390">
        <f t="shared" ref="S441:S477" si="288">+IF($L441&lt;=$N$7,$M441,IF(($F441+($G441/12))&gt;=$N$7,0,((($N441-((($L441-$N$7)*12)*$O441))))))</f>
        <v>34293.759999999995</v>
      </c>
      <c r="T441" s="19">
        <f t="shared" ref="T441:T477" si="289">IF(L441&lt;=$N$6,M441,Q441+S441)</f>
        <v>34293.759999999995</v>
      </c>
      <c r="U441" s="19">
        <f t="shared" ref="U441:U477" si="290">+M441-T441</f>
        <v>0</v>
      </c>
    </row>
    <row r="442" spans="1:24">
      <c r="A442" s="391"/>
      <c r="B442" s="391"/>
      <c r="C442" s="392"/>
      <c r="D442" s="391"/>
      <c r="E442" s="393" t="s">
        <v>640</v>
      </c>
      <c r="F442" s="391">
        <v>2020</v>
      </c>
      <c r="G442" s="392">
        <v>12</v>
      </c>
      <c r="H442" s="394">
        <v>0</v>
      </c>
      <c r="I442" s="395" t="s">
        <v>86</v>
      </c>
      <c r="J442" s="392">
        <v>3</v>
      </c>
      <c r="K442" s="396">
        <f>F442+J442</f>
        <v>2023</v>
      </c>
      <c r="L442" s="50">
        <f>+K442+(G442/12)</f>
        <v>2024</v>
      </c>
      <c r="M442" s="51">
        <f>+'Depreciation - Orig.'!N419-M441</f>
        <v>8573.4400000000023</v>
      </c>
      <c r="N442" s="52">
        <f>M442-M442*H442</f>
        <v>8573.4400000000023</v>
      </c>
      <c r="O442" s="52">
        <f>N442/J442/12</f>
        <v>238.15111111111116</v>
      </c>
      <c r="P442" s="52">
        <f>+O442*12</f>
        <v>2857.813333333334</v>
      </c>
      <c r="Q442" s="389">
        <f t="shared" si="287"/>
        <v>0</v>
      </c>
      <c r="R442" s="101"/>
      <c r="S442" s="390">
        <f t="shared" si="288"/>
        <v>6430.0800000000017</v>
      </c>
      <c r="T442" s="19">
        <f t="shared" si="289"/>
        <v>8573.4400000000023</v>
      </c>
      <c r="U442" s="19">
        <f t="shared" si="290"/>
        <v>0</v>
      </c>
      <c r="W442" s="39"/>
      <c r="X442" s="39"/>
    </row>
    <row r="443" spans="1:24">
      <c r="E443" s="385" t="s">
        <v>239</v>
      </c>
      <c r="F443" s="15">
        <v>2007</v>
      </c>
      <c r="G443" s="364">
        <v>5</v>
      </c>
      <c r="H443" s="386">
        <v>0</v>
      </c>
      <c r="I443" s="387" t="s">
        <v>86</v>
      </c>
      <c r="J443" s="364">
        <v>5</v>
      </c>
      <c r="K443" s="388">
        <f t="shared" si="283"/>
        <v>2012</v>
      </c>
      <c r="L443" s="21">
        <f t="shared" si="261"/>
        <v>2012.4166666666667</v>
      </c>
      <c r="M443" s="365">
        <v>1618.75</v>
      </c>
      <c r="N443" s="19">
        <f t="shared" si="284"/>
        <v>1618.75</v>
      </c>
      <c r="O443" s="19">
        <f t="shared" si="285"/>
        <v>26.979166666666668</v>
      </c>
      <c r="P443" s="19">
        <f t="shared" si="286"/>
        <v>323.75</v>
      </c>
      <c r="Q443" s="419">
        <f t="shared" si="287"/>
        <v>0</v>
      </c>
      <c r="R443" s="101"/>
      <c r="S443" s="390">
        <f t="shared" si="288"/>
        <v>1618.75</v>
      </c>
      <c r="T443" s="19">
        <f t="shared" si="289"/>
        <v>1618.75</v>
      </c>
      <c r="U443" s="19">
        <f t="shared" si="290"/>
        <v>0</v>
      </c>
    </row>
    <row r="444" spans="1:24">
      <c r="E444" s="385" t="s">
        <v>240</v>
      </c>
      <c r="F444" s="15">
        <v>2007</v>
      </c>
      <c r="G444" s="364">
        <v>11</v>
      </c>
      <c r="H444" s="386">
        <v>0</v>
      </c>
      <c r="I444" s="387" t="s">
        <v>86</v>
      </c>
      <c r="J444" s="364">
        <v>7</v>
      </c>
      <c r="K444" s="388">
        <f t="shared" si="283"/>
        <v>2014</v>
      </c>
      <c r="L444" s="21">
        <f t="shared" si="261"/>
        <v>2014.9166666666667</v>
      </c>
      <c r="M444" s="365">
        <f>+'Depreciation - Orig.'!P421</f>
        <v>1168.624</v>
      </c>
      <c r="N444" s="19">
        <f t="shared" si="284"/>
        <v>1168.624</v>
      </c>
      <c r="O444" s="19">
        <f t="shared" si="285"/>
        <v>13.912190476190476</v>
      </c>
      <c r="P444" s="19">
        <f t="shared" si="286"/>
        <v>166.94628571428572</v>
      </c>
      <c r="Q444" s="419">
        <f t="shared" si="287"/>
        <v>0</v>
      </c>
      <c r="R444" s="101"/>
      <c r="S444" s="390">
        <f t="shared" si="288"/>
        <v>1168.624</v>
      </c>
      <c r="T444" s="19">
        <f t="shared" si="289"/>
        <v>1168.624</v>
      </c>
      <c r="U444" s="19">
        <f t="shared" si="290"/>
        <v>0</v>
      </c>
    </row>
    <row r="445" spans="1:24">
      <c r="A445" s="391"/>
      <c r="B445" s="391"/>
      <c r="C445" s="392"/>
      <c r="D445" s="391"/>
      <c r="E445" s="393" t="s">
        <v>641</v>
      </c>
      <c r="F445" s="391">
        <v>2020</v>
      </c>
      <c r="G445" s="392">
        <v>12</v>
      </c>
      <c r="H445" s="394">
        <v>0</v>
      </c>
      <c r="I445" s="395" t="s">
        <v>86</v>
      </c>
      <c r="J445" s="392">
        <v>3</v>
      </c>
      <c r="K445" s="396">
        <f>F445+J445</f>
        <v>2023</v>
      </c>
      <c r="L445" s="50">
        <f>+K445+(G445/12)</f>
        <v>2024</v>
      </c>
      <c r="M445" s="51">
        <f>+'Depreciation - Orig.'!N421-Depreciation!M444</f>
        <v>292.15599999999995</v>
      </c>
      <c r="N445" s="52">
        <f>M445-M445*H445</f>
        <v>292.15599999999995</v>
      </c>
      <c r="O445" s="52">
        <f>N445/J445/12</f>
        <v>8.115444444444444</v>
      </c>
      <c r="P445" s="52">
        <f>+O445*12</f>
        <v>97.385333333333335</v>
      </c>
      <c r="Q445" s="389">
        <f t="shared" si="287"/>
        <v>0</v>
      </c>
      <c r="R445" s="101"/>
      <c r="S445" s="390">
        <f t="shared" si="288"/>
        <v>219.11699999999996</v>
      </c>
      <c r="T445" s="19">
        <f t="shared" si="289"/>
        <v>292.15599999999995</v>
      </c>
      <c r="U445" s="19">
        <f t="shared" si="290"/>
        <v>0</v>
      </c>
      <c r="W445" s="39"/>
      <c r="X445" s="39"/>
    </row>
    <row r="446" spans="1:24">
      <c r="E446" s="385" t="s">
        <v>241</v>
      </c>
      <c r="F446" s="15">
        <v>2007</v>
      </c>
      <c r="G446" s="364">
        <v>12</v>
      </c>
      <c r="H446" s="386">
        <v>0</v>
      </c>
      <c r="I446" s="387" t="s">
        <v>86</v>
      </c>
      <c r="J446" s="364">
        <v>5</v>
      </c>
      <c r="K446" s="388">
        <f t="shared" si="283"/>
        <v>2012</v>
      </c>
      <c r="L446" s="21">
        <f t="shared" si="261"/>
        <v>2013</v>
      </c>
      <c r="M446" s="365">
        <v>2776.1</v>
      </c>
      <c r="N446" s="19">
        <f t="shared" si="284"/>
        <v>2776.1</v>
      </c>
      <c r="O446" s="19">
        <f t="shared" si="285"/>
        <v>46.268333333333338</v>
      </c>
      <c r="P446" s="19">
        <f t="shared" si="286"/>
        <v>555.22</v>
      </c>
      <c r="Q446" s="419">
        <f t="shared" si="287"/>
        <v>0</v>
      </c>
      <c r="R446" s="101"/>
      <c r="S446" s="390">
        <f t="shared" si="288"/>
        <v>2776.1</v>
      </c>
      <c r="T446" s="19">
        <f t="shared" si="289"/>
        <v>2776.1</v>
      </c>
      <c r="U446" s="19">
        <f t="shared" si="290"/>
        <v>0</v>
      </c>
    </row>
    <row r="447" spans="1:24">
      <c r="C447" s="15" t="s">
        <v>242</v>
      </c>
      <c r="D447" s="15" t="s">
        <v>243</v>
      </c>
      <c r="E447" s="385" t="s">
        <v>244</v>
      </c>
      <c r="F447" s="15">
        <v>2008</v>
      </c>
      <c r="G447" s="364">
        <v>7</v>
      </c>
      <c r="H447" s="386">
        <v>0</v>
      </c>
      <c r="I447" s="387" t="s">
        <v>86</v>
      </c>
      <c r="J447" s="364">
        <v>7</v>
      </c>
      <c r="K447" s="388">
        <f>F447+J447</f>
        <v>2015</v>
      </c>
      <c r="L447" s="21">
        <f>+K447+(G447/12)</f>
        <v>2015.5833333333333</v>
      </c>
      <c r="M447" s="365">
        <f>'Depreciation - Orig.'!P423</f>
        <v>37626.015999999996</v>
      </c>
      <c r="N447" s="19">
        <f>M447-M447*H447</f>
        <v>37626.015999999996</v>
      </c>
      <c r="O447" s="19">
        <f>N447/J447/12</f>
        <v>447.92876190476187</v>
      </c>
      <c r="P447" s="19">
        <f>+O447*12</f>
        <v>5375.1451428571427</v>
      </c>
      <c r="Q447" s="419">
        <f t="shared" si="287"/>
        <v>0</v>
      </c>
      <c r="R447" s="101"/>
      <c r="S447" s="390">
        <f t="shared" si="288"/>
        <v>37626.015999999996</v>
      </c>
      <c r="T447" s="19">
        <f t="shared" si="289"/>
        <v>37626.015999999996</v>
      </c>
      <c r="U447" s="19">
        <f t="shared" si="290"/>
        <v>0</v>
      </c>
    </row>
    <row r="448" spans="1:24">
      <c r="A448" s="391"/>
      <c r="B448" s="391"/>
      <c r="C448" s="392"/>
      <c r="D448" s="391"/>
      <c r="E448" s="393" t="s">
        <v>521</v>
      </c>
      <c r="F448" s="391">
        <v>2020</v>
      </c>
      <c r="G448" s="392">
        <v>12</v>
      </c>
      <c r="H448" s="394">
        <v>0</v>
      </c>
      <c r="I448" s="395" t="s">
        <v>86</v>
      </c>
      <c r="J448" s="392">
        <v>3</v>
      </c>
      <c r="K448" s="396">
        <f>F448+J448</f>
        <v>2023</v>
      </c>
      <c r="L448" s="50">
        <f>+K448+(G448/12)</f>
        <v>2024</v>
      </c>
      <c r="M448" s="51">
        <f>'Depreciation - Orig.'!N423-Depreciation!M447</f>
        <v>9406.5040000000008</v>
      </c>
      <c r="N448" s="52">
        <f>M448-M448*H448</f>
        <v>9406.5040000000008</v>
      </c>
      <c r="O448" s="52">
        <f>N448/J448/12</f>
        <v>261.29177777777778</v>
      </c>
      <c r="P448" s="52">
        <f>+O448*12</f>
        <v>3135.5013333333336</v>
      </c>
      <c r="Q448" s="389">
        <f t="shared" si="287"/>
        <v>0</v>
      </c>
      <c r="R448" s="101"/>
      <c r="S448" s="390">
        <f t="shared" si="288"/>
        <v>7054.8780000000006</v>
      </c>
      <c r="T448" s="19">
        <f t="shared" si="289"/>
        <v>9406.5040000000008</v>
      </c>
      <c r="U448" s="19">
        <f t="shared" si="290"/>
        <v>0</v>
      </c>
      <c r="W448" s="39"/>
      <c r="X448" s="39"/>
    </row>
    <row r="449" spans="1:24">
      <c r="B449" s="15">
        <v>107208</v>
      </c>
      <c r="C449" s="364" t="s">
        <v>301</v>
      </c>
      <c r="D449" s="15">
        <v>8992</v>
      </c>
      <c r="E449" s="385" t="s">
        <v>300</v>
      </c>
      <c r="F449" s="15">
        <v>2008</v>
      </c>
      <c r="G449" s="364">
        <v>11</v>
      </c>
      <c r="H449" s="386">
        <v>0</v>
      </c>
      <c r="I449" s="387" t="s">
        <v>86</v>
      </c>
      <c r="J449" s="364">
        <v>5</v>
      </c>
      <c r="K449" s="388">
        <f t="shared" si="283"/>
        <v>2013</v>
      </c>
      <c r="L449" s="21">
        <f t="shared" si="261"/>
        <v>2013.9166666666667</v>
      </c>
      <c r="M449" s="365">
        <f>'Depreciation - Orig.'!P424</f>
        <v>670</v>
      </c>
      <c r="N449" s="19">
        <f t="shared" si="284"/>
        <v>670</v>
      </c>
      <c r="O449" s="19">
        <f t="shared" si="285"/>
        <v>11.166666666666666</v>
      </c>
      <c r="P449" s="19">
        <f t="shared" si="286"/>
        <v>134</v>
      </c>
      <c r="Q449" s="419">
        <f t="shared" si="287"/>
        <v>0</v>
      </c>
      <c r="R449" s="101"/>
      <c r="S449" s="390">
        <f t="shared" si="288"/>
        <v>670</v>
      </c>
      <c r="T449" s="19">
        <f t="shared" si="289"/>
        <v>670</v>
      </c>
      <c r="U449" s="19">
        <f t="shared" si="290"/>
        <v>0</v>
      </c>
    </row>
    <row r="450" spans="1:24">
      <c r="A450" s="391"/>
      <c r="B450" s="391"/>
      <c r="C450" s="392"/>
      <c r="D450" s="391"/>
      <c r="E450" s="393" t="s">
        <v>522</v>
      </c>
      <c r="F450" s="391">
        <v>2020</v>
      </c>
      <c r="G450" s="392">
        <v>12</v>
      </c>
      <c r="H450" s="394">
        <v>0</v>
      </c>
      <c r="I450" s="395" t="s">
        <v>86</v>
      </c>
      <c r="J450" s="392">
        <v>3</v>
      </c>
      <c r="K450" s="396">
        <f t="shared" si="283"/>
        <v>2023</v>
      </c>
      <c r="L450" s="50">
        <f>+K450+(G450/12)</f>
        <v>2024</v>
      </c>
      <c r="M450" s="51">
        <f>'Depreciation - Orig.'!N424-Depreciation!M449</f>
        <v>330</v>
      </c>
      <c r="N450" s="52">
        <f t="shared" si="284"/>
        <v>330</v>
      </c>
      <c r="O450" s="52">
        <f t="shared" si="285"/>
        <v>9.1666666666666661</v>
      </c>
      <c r="P450" s="52">
        <f>+O450*12</f>
        <v>110</v>
      </c>
      <c r="Q450" s="389">
        <f t="shared" si="287"/>
        <v>0</v>
      </c>
      <c r="R450" s="101"/>
      <c r="S450" s="390">
        <f t="shared" si="288"/>
        <v>247.5</v>
      </c>
      <c r="T450" s="19">
        <f t="shared" si="289"/>
        <v>330</v>
      </c>
      <c r="U450" s="19">
        <f t="shared" si="290"/>
        <v>0</v>
      </c>
      <c r="W450" s="39"/>
      <c r="X450" s="39"/>
    </row>
    <row r="451" spans="1:24">
      <c r="C451" s="15" t="s">
        <v>2</v>
      </c>
      <c r="D451" s="15" t="s">
        <v>2</v>
      </c>
      <c r="E451" s="385" t="s">
        <v>245</v>
      </c>
      <c r="F451" s="15">
        <v>2009</v>
      </c>
      <c r="G451" s="364">
        <v>7</v>
      </c>
      <c r="H451" s="386">
        <v>0</v>
      </c>
      <c r="I451" s="387" t="s">
        <v>86</v>
      </c>
      <c r="J451" s="364">
        <v>7</v>
      </c>
      <c r="K451" s="388">
        <f t="shared" si="283"/>
        <v>2016</v>
      </c>
      <c r="L451" s="21">
        <f t="shared" si="261"/>
        <v>2016.5833333333333</v>
      </c>
      <c r="M451" s="365">
        <f>+'Depreciation - Orig.'!P425</f>
        <v>5594</v>
      </c>
      <c r="N451" s="19">
        <f t="shared" si="284"/>
        <v>5594</v>
      </c>
      <c r="O451" s="19">
        <f t="shared" si="285"/>
        <v>66.595238095238088</v>
      </c>
      <c r="P451" s="19">
        <f t="shared" si="286"/>
        <v>799.14285714285711</v>
      </c>
      <c r="Q451" s="419">
        <f t="shared" si="287"/>
        <v>0</v>
      </c>
      <c r="R451" s="101"/>
      <c r="S451" s="390">
        <f t="shared" si="288"/>
        <v>5594</v>
      </c>
      <c r="T451" s="19">
        <f t="shared" si="289"/>
        <v>5594</v>
      </c>
      <c r="U451" s="19">
        <f t="shared" si="290"/>
        <v>0</v>
      </c>
    </row>
    <row r="452" spans="1:24">
      <c r="A452" s="391"/>
      <c r="B452" s="391"/>
      <c r="C452" s="392"/>
      <c r="D452" s="391"/>
      <c r="E452" s="393" t="s">
        <v>642</v>
      </c>
      <c r="F452" s="391">
        <v>2020</v>
      </c>
      <c r="G452" s="392">
        <v>12</v>
      </c>
      <c r="H452" s="394">
        <v>0</v>
      </c>
      <c r="I452" s="395" t="s">
        <v>86</v>
      </c>
      <c r="J452" s="392">
        <v>3</v>
      </c>
      <c r="K452" s="396">
        <f>F452+J452</f>
        <v>2023</v>
      </c>
      <c r="L452" s="50">
        <f>+K452+(G452/12)</f>
        <v>2024</v>
      </c>
      <c r="M452" s="51">
        <f>+'Depreciation - Orig.'!N425-Depreciation!M451</f>
        <v>1398.5</v>
      </c>
      <c r="N452" s="52">
        <f>M452-M452*H452</f>
        <v>1398.5</v>
      </c>
      <c r="O452" s="52">
        <f>N452/J452/12</f>
        <v>38.847222222222221</v>
      </c>
      <c r="P452" s="52">
        <f>+O452*12</f>
        <v>466.16666666666663</v>
      </c>
      <c r="Q452" s="389">
        <f t="shared" si="287"/>
        <v>0</v>
      </c>
      <c r="R452" s="101"/>
      <c r="S452" s="390">
        <f t="shared" si="288"/>
        <v>1048.875</v>
      </c>
      <c r="T452" s="19">
        <f t="shared" si="289"/>
        <v>1398.5</v>
      </c>
      <c r="U452" s="19">
        <f t="shared" si="290"/>
        <v>0</v>
      </c>
      <c r="W452" s="39"/>
      <c r="X452" s="39"/>
    </row>
    <row r="453" spans="1:24">
      <c r="C453" s="15" t="s">
        <v>2</v>
      </c>
      <c r="D453" s="15" t="s">
        <v>2</v>
      </c>
      <c r="E453" s="385" t="s">
        <v>246</v>
      </c>
      <c r="F453" s="15">
        <v>2009</v>
      </c>
      <c r="G453" s="364">
        <v>12</v>
      </c>
      <c r="H453" s="386">
        <v>0</v>
      </c>
      <c r="I453" s="387" t="s">
        <v>86</v>
      </c>
      <c r="J453" s="364">
        <v>5</v>
      </c>
      <c r="K453" s="388">
        <f t="shared" si="283"/>
        <v>2014</v>
      </c>
      <c r="L453" s="21">
        <f t="shared" si="261"/>
        <v>2015</v>
      </c>
      <c r="M453" s="365">
        <v>1565.27</v>
      </c>
      <c r="N453" s="19">
        <f t="shared" si="284"/>
        <v>1565.27</v>
      </c>
      <c r="O453" s="19">
        <f t="shared" si="285"/>
        <v>26.087833333333332</v>
      </c>
      <c r="P453" s="19">
        <f t="shared" si="286"/>
        <v>313.05399999999997</v>
      </c>
      <c r="Q453" s="419">
        <f t="shared" si="287"/>
        <v>0</v>
      </c>
      <c r="R453" s="101"/>
      <c r="S453" s="390">
        <f t="shared" si="288"/>
        <v>1565.27</v>
      </c>
      <c r="T453" s="19">
        <f t="shared" si="289"/>
        <v>1565.27</v>
      </c>
      <c r="U453" s="19">
        <f t="shared" si="290"/>
        <v>0</v>
      </c>
    </row>
    <row r="454" spans="1:24">
      <c r="C454" s="15" t="s">
        <v>2</v>
      </c>
      <c r="D454" s="15" t="s">
        <v>2</v>
      </c>
      <c r="E454" s="385" t="s">
        <v>247</v>
      </c>
      <c r="F454" s="15">
        <v>2010</v>
      </c>
      <c r="G454" s="364">
        <v>12</v>
      </c>
      <c r="H454" s="386">
        <v>0</v>
      </c>
      <c r="I454" s="387" t="s">
        <v>86</v>
      </c>
      <c r="J454" s="364">
        <v>7</v>
      </c>
      <c r="K454" s="388">
        <f t="shared" si="283"/>
        <v>2017</v>
      </c>
      <c r="L454" s="21">
        <f t="shared" si="261"/>
        <v>2018</v>
      </c>
      <c r="M454" s="365">
        <v>3253.09</v>
      </c>
      <c r="N454" s="19">
        <f t="shared" si="284"/>
        <v>3253.09</v>
      </c>
      <c r="O454" s="19">
        <f t="shared" si="285"/>
        <v>38.72726190476191</v>
      </c>
      <c r="P454" s="19">
        <f t="shared" si="286"/>
        <v>464.72714285714289</v>
      </c>
      <c r="Q454" s="419">
        <f t="shared" si="287"/>
        <v>0</v>
      </c>
      <c r="R454" s="101"/>
      <c r="S454" s="390">
        <f t="shared" si="288"/>
        <v>3253.09</v>
      </c>
      <c r="T454" s="19">
        <f t="shared" si="289"/>
        <v>3253.09</v>
      </c>
      <c r="U454" s="19">
        <f t="shared" si="290"/>
        <v>0</v>
      </c>
    </row>
    <row r="455" spans="1:24">
      <c r="E455" s="385" t="s">
        <v>248</v>
      </c>
      <c r="F455" s="15">
        <v>2010</v>
      </c>
      <c r="G455" s="364">
        <v>12</v>
      </c>
      <c r="H455" s="386">
        <v>0</v>
      </c>
      <c r="I455" s="387" t="s">
        <v>86</v>
      </c>
      <c r="J455" s="364">
        <v>7</v>
      </c>
      <c r="K455" s="388">
        <f t="shared" si="283"/>
        <v>2017</v>
      </c>
      <c r="L455" s="21">
        <f t="shared" si="261"/>
        <v>2018</v>
      </c>
      <c r="M455" s="365">
        <v>4681.47</v>
      </c>
      <c r="N455" s="19">
        <f t="shared" si="284"/>
        <v>4681.47</v>
      </c>
      <c r="O455" s="19">
        <f t="shared" si="285"/>
        <v>55.731785714285714</v>
      </c>
      <c r="P455" s="19">
        <f t="shared" si="286"/>
        <v>668.78142857142859</v>
      </c>
      <c r="Q455" s="419">
        <f t="shared" si="287"/>
        <v>0</v>
      </c>
      <c r="R455" s="101"/>
      <c r="S455" s="390">
        <f t="shared" si="288"/>
        <v>4681.47</v>
      </c>
      <c r="T455" s="19">
        <f t="shared" si="289"/>
        <v>4681.47</v>
      </c>
      <c r="U455" s="19">
        <f t="shared" si="290"/>
        <v>0</v>
      </c>
    </row>
    <row r="456" spans="1:24">
      <c r="E456" s="385" t="s">
        <v>249</v>
      </c>
      <c r="F456" s="15">
        <v>2010</v>
      </c>
      <c r="G456" s="364">
        <v>12</v>
      </c>
      <c r="H456" s="386">
        <v>0</v>
      </c>
      <c r="I456" s="387" t="s">
        <v>86</v>
      </c>
      <c r="J456" s="364">
        <v>7</v>
      </c>
      <c r="K456" s="388">
        <f t="shared" si="283"/>
        <v>2017</v>
      </c>
      <c r="L456" s="21">
        <f t="shared" si="261"/>
        <v>2018</v>
      </c>
      <c r="M456" s="365">
        <v>3765.82</v>
      </c>
      <c r="N456" s="19">
        <f t="shared" si="284"/>
        <v>3765.82</v>
      </c>
      <c r="O456" s="19">
        <f t="shared" si="285"/>
        <v>44.831190476190478</v>
      </c>
      <c r="P456" s="19">
        <f t="shared" si="286"/>
        <v>537.97428571428577</v>
      </c>
      <c r="Q456" s="419">
        <f t="shared" si="287"/>
        <v>0</v>
      </c>
      <c r="R456" s="101"/>
      <c r="S456" s="390">
        <f t="shared" si="288"/>
        <v>3765.82</v>
      </c>
      <c r="T456" s="19">
        <f t="shared" si="289"/>
        <v>3765.82</v>
      </c>
      <c r="U456" s="19">
        <f t="shared" si="290"/>
        <v>0</v>
      </c>
    </row>
    <row r="457" spans="1:24">
      <c r="E457" s="385" t="s">
        <v>250</v>
      </c>
      <c r="F457" s="15">
        <v>2011</v>
      </c>
      <c r="G457" s="364">
        <v>1</v>
      </c>
      <c r="H457" s="386">
        <v>0</v>
      </c>
      <c r="I457" s="387" t="s">
        <v>86</v>
      </c>
      <c r="J457" s="364">
        <v>7</v>
      </c>
      <c r="K457" s="388">
        <f t="shared" si="283"/>
        <v>2018</v>
      </c>
      <c r="L457" s="21">
        <f t="shared" si="261"/>
        <v>2018.0833333333333</v>
      </c>
      <c r="M457" s="365">
        <f>1674.5+7417</f>
        <v>9091.5</v>
      </c>
      <c r="N457" s="19">
        <f t="shared" si="284"/>
        <v>9091.5</v>
      </c>
      <c r="O457" s="19">
        <f t="shared" si="285"/>
        <v>108.23214285714285</v>
      </c>
      <c r="P457" s="19">
        <f t="shared" si="286"/>
        <v>1298.7857142857142</v>
      </c>
      <c r="Q457" s="419">
        <f t="shared" si="287"/>
        <v>0</v>
      </c>
      <c r="R457" s="101"/>
      <c r="S457" s="390">
        <f t="shared" si="288"/>
        <v>9091.5</v>
      </c>
      <c r="T457" s="19">
        <f t="shared" si="289"/>
        <v>9091.5</v>
      </c>
      <c r="U457" s="19">
        <f t="shared" si="290"/>
        <v>0</v>
      </c>
    </row>
    <row r="458" spans="1:24">
      <c r="B458" s="15">
        <v>212566</v>
      </c>
      <c r="E458" s="15" t="s">
        <v>533</v>
      </c>
      <c r="F458" s="15">
        <v>2011</v>
      </c>
      <c r="G458" s="364">
        <v>1</v>
      </c>
      <c r="H458" s="23">
        <v>0</v>
      </c>
      <c r="I458" s="387" t="s">
        <v>86</v>
      </c>
      <c r="J458" s="364">
        <v>1</v>
      </c>
      <c r="K458" s="388">
        <f>F458+J458</f>
        <v>2012</v>
      </c>
      <c r="L458" s="21">
        <f>+K458+(G458/12)</f>
        <v>2012.0833333333333</v>
      </c>
      <c r="M458" s="24">
        <v>0</v>
      </c>
      <c r="N458" s="19">
        <f>M458-M458*H458</f>
        <v>0</v>
      </c>
      <c r="O458" s="19">
        <f>N458/J458/12</f>
        <v>0</v>
      </c>
      <c r="P458" s="19">
        <f>+O458*12</f>
        <v>0</v>
      </c>
      <c r="Q458" s="419">
        <f t="shared" si="287"/>
        <v>0</v>
      </c>
      <c r="R458" s="101"/>
      <c r="S458" s="390">
        <f t="shared" si="288"/>
        <v>0</v>
      </c>
      <c r="T458" s="19">
        <f t="shared" si="289"/>
        <v>0</v>
      </c>
      <c r="U458" s="19">
        <f t="shared" si="290"/>
        <v>0</v>
      </c>
    </row>
    <row r="459" spans="1:24">
      <c r="E459" s="385" t="s">
        <v>251</v>
      </c>
      <c r="F459" s="15">
        <v>2011</v>
      </c>
      <c r="G459" s="364">
        <v>7</v>
      </c>
      <c r="H459" s="386">
        <v>0</v>
      </c>
      <c r="I459" s="387" t="s">
        <v>86</v>
      </c>
      <c r="J459" s="364">
        <v>7</v>
      </c>
      <c r="K459" s="388">
        <f t="shared" si="283"/>
        <v>2018</v>
      </c>
      <c r="L459" s="21">
        <f t="shared" si="261"/>
        <v>2018.5833333333333</v>
      </c>
      <c r="M459" s="365">
        <v>5203.2</v>
      </c>
      <c r="N459" s="19">
        <f t="shared" si="284"/>
        <v>5203.2</v>
      </c>
      <c r="O459" s="19">
        <f t="shared" si="285"/>
        <v>61.942857142857143</v>
      </c>
      <c r="P459" s="19">
        <f t="shared" si="286"/>
        <v>743.31428571428569</v>
      </c>
      <c r="Q459" s="419">
        <f t="shared" si="287"/>
        <v>0</v>
      </c>
      <c r="R459" s="101"/>
      <c r="S459" s="390">
        <f t="shared" si="288"/>
        <v>5203.2</v>
      </c>
      <c r="T459" s="19">
        <f t="shared" si="289"/>
        <v>5203.2</v>
      </c>
      <c r="U459" s="19">
        <f t="shared" si="290"/>
        <v>0</v>
      </c>
    </row>
    <row r="460" spans="1:24">
      <c r="B460" s="15">
        <v>91092</v>
      </c>
      <c r="E460" s="385" t="s">
        <v>252</v>
      </c>
      <c r="F460" s="15">
        <v>2012</v>
      </c>
      <c r="G460" s="364">
        <v>1</v>
      </c>
      <c r="H460" s="386">
        <v>0</v>
      </c>
      <c r="I460" s="387" t="s">
        <v>86</v>
      </c>
      <c r="J460" s="364">
        <v>7</v>
      </c>
      <c r="K460" s="388">
        <f t="shared" si="283"/>
        <v>2019</v>
      </c>
      <c r="L460" s="21">
        <f t="shared" si="261"/>
        <v>2019.0833333333333</v>
      </c>
      <c r="M460" s="365">
        <v>6806.52</v>
      </c>
      <c r="N460" s="19">
        <f t="shared" si="284"/>
        <v>6806.52</v>
      </c>
      <c r="O460" s="19">
        <f t="shared" si="285"/>
        <v>81.03</v>
      </c>
      <c r="P460" s="19">
        <f t="shared" si="286"/>
        <v>972.36</v>
      </c>
      <c r="Q460" s="419">
        <f t="shared" si="287"/>
        <v>0</v>
      </c>
      <c r="R460" s="101"/>
      <c r="S460" s="390">
        <f t="shared" si="288"/>
        <v>6806.52</v>
      </c>
      <c r="T460" s="19">
        <f t="shared" si="289"/>
        <v>6806.52</v>
      </c>
      <c r="U460" s="19">
        <f t="shared" si="290"/>
        <v>0</v>
      </c>
    </row>
    <row r="461" spans="1:24">
      <c r="B461" s="15">
        <v>95050</v>
      </c>
      <c r="E461" s="385" t="s">
        <v>253</v>
      </c>
      <c r="F461" s="15">
        <v>2012</v>
      </c>
      <c r="G461" s="364">
        <v>4</v>
      </c>
      <c r="H461" s="386">
        <v>0</v>
      </c>
      <c r="I461" s="387" t="s">
        <v>86</v>
      </c>
      <c r="J461" s="364">
        <v>5</v>
      </c>
      <c r="K461" s="388">
        <f t="shared" si="283"/>
        <v>2017</v>
      </c>
      <c r="L461" s="21">
        <f t="shared" si="261"/>
        <v>2017.3333333333333</v>
      </c>
      <c r="M461" s="365">
        <v>466.06</v>
      </c>
      <c r="N461" s="19">
        <f t="shared" si="284"/>
        <v>466.06</v>
      </c>
      <c r="O461" s="19">
        <f t="shared" si="285"/>
        <v>7.7676666666666669</v>
      </c>
      <c r="P461" s="19">
        <f t="shared" si="286"/>
        <v>93.212000000000003</v>
      </c>
      <c r="Q461" s="419">
        <f t="shared" si="287"/>
        <v>0</v>
      </c>
      <c r="R461" s="101"/>
      <c r="S461" s="390">
        <f t="shared" si="288"/>
        <v>466.06</v>
      </c>
      <c r="T461" s="19">
        <f t="shared" si="289"/>
        <v>466.06</v>
      </c>
      <c r="U461" s="19">
        <f t="shared" si="290"/>
        <v>0</v>
      </c>
    </row>
    <row r="462" spans="1:24">
      <c r="C462" s="364" t="s">
        <v>2</v>
      </c>
      <c r="D462" s="15" t="s">
        <v>243</v>
      </c>
      <c r="E462" s="385" t="s">
        <v>225</v>
      </c>
      <c r="F462" s="15">
        <v>2012</v>
      </c>
      <c r="G462" s="364">
        <v>7</v>
      </c>
      <c r="H462" s="386">
        <v>0</v>
      </c>
      <c r="I462" s="387" t="s">
        <v>86</v>
      </c>
      <c r="J462" s="364">
        <v>7</v>
      </c>
      <c r="K462" s="388">
        <f t="shared" si="283"/>
        <v>2019</v>
      </c>
      <c r="L462" s="21">
        <f t="shared" si="261"/>
        <v>2019.5833333333333</v>
      </c>
      <c r="M462" s="365">
        <f>'Depreciation - Orig.'!P434</f>
        <v>476</v>
      </c>
      <c r="N462" s="19">
        <f t="shared" si="284"/>
        <v>476</v>
      </c>
      <c r="O462" s="19">
        <f t="shared" si="285"/>
        <v>5.666666666666667</v>
      </c>
      <c r="P462" s="19">
        <f t="shared" si="286"/>
        <v>68</v>
      </c>
      <c r="Q462" s="419">
        <f t="shared" si="287"/>
        <v>0</v>
      </c>
      <c r="R462" s="101"/>
      <c r="S462" s="390">
        <f t="shared" si="288"/>
        <v>476</v>
      </c>
      <c r="T462" s="19">
        <f t="shared" si="289"/>
        <v>476</v>
      </c>
      <c r="U462" s="19">
        <f t="shared" si="290"/>
        <v>0</v>
      </c>
    </row>
    <row r="463" spans="1:24">
      <c r="A463" s="391"/>
      <c r="B463" s="391"/>
      <c r="C463" s="392"/>
      <c r="D463" s="391"/>
      <c r="E463" s="393" t="s">
        <v>520</v>
      </c>
      <c r="F463" s="391">
        <v>2020</v>
      </c>
      <c r="G463" s="392">
        <v>12</v>
      </c>
      <c r="H463" s="394">
        <v>0</v>
      </c>
      <c r="I463" s="395" t="s">
        <v>86</v>
      </c>
      <c r="J463" s="392">
        <v>3</v>
      </c>
      <c r="K463" s="396">
        <f t="shared" si="283"/>
        <v>2023</v>
      </c>
      <c r="L463" s="50">
        <f>+K463+(G463/12)</f>
        <v>2024</v>
      </c>
      <c r="M463" s="51">
        <f>'Depreciation - Orig.'!N434-Depreciation!M462</f>
        <v>119</v>
      </c>
      <c r="N463" s="52">
        <f t="shared" si="284"/>
        <v>119</v>
      </c>
      <c r="O463" s="52">
        <f t="shared" si="285"/>
        <v>3.3055555555555554</v>
      </c>
      <c r="P463" s="52">
        <f>+O463*12</f>
        <v>39.666666666666664</v>
      </c>
      <c r="Q463" s="389">
        <f t="shared" si="287"/>
        <v>0</v>
      </c>
      <c r="R463" s="101"/>
      <c r="S463" s="390">
        <f t="shared" si="288"/>
        <v>89.25</v>
      </c>
      <c r="T463" s="19">
        <f t="shared" si="289"/>
        <v>119</v>
      </c>
      <c r="U463" s="19">
        <f t="shared" si="290"/>
        <v>0</v>
      </c>
      <c r="W463" s="39"/>
      <c r="X463" s="39"/>
    </row>
    <row r="464" spans="1:24">
      <c r="B464" s="15">
        <v>120330</v>
      </c>
      <c r="C464" s="364"/>
      <c r="E464" s="385" t="s">
        <v>323</v>
      </c>
      <c r="F464" s="15">
        <v>2015</v>
      </c>
      <c r="G464" s="364">
        <v>1</v>
      </c>
      <c r="H464" s="386">
        <v>0</v>
      </c>
      <c r="I464" s="387" t="s">
        <v>86</v>
      </c>
      <c r="J464" s="364">
        <v>5</v>
      </c>
      <c r="K464" s="388">
        <f t="shared" si="283"/>
        <v>2020</v>
      </c>
      <c r="L464" s="21">
        <f t="shared" si="261"/>
        <v>2020.0833333333333</v>
      </c>
      <c r="M464" s="365">
        <v>17574.62</v>
      </c>
      <c r="N464" s="19">
        <f t="shared" si="284"/>
        <v>17574.62</v>
      </c>
      <c r="O464" s="19">
        <f t="shared" si="285"/>
        <v>292.91033333333331</v>
      </c>
      <c r="P464" s="19">
        <f t="shared" si="286"/>
        <v>3514.924</v>
      </c>
      <c r="Q464" s="419">
        <f t="shared" si="287"/>
        <v>0</v>
      </c>
      <c r="R464" s="101"/>
      <c r="S464" s="390">
        <f t="shared" si="288"/>
        <v>17574.62</v>
      </c>
      <c r="T464" s="19">
        <f t="shared" si="289"/>
        <v>17574.62</v>
      </c>
      <c r="U464" s="19">
        <f t="shared" si="290"/>
        <v>0</v>
      </c>
    </row>
    <row r="465" spans="2:21">
      <c r="B465" s="15">
        <v>121096</v>
      </c>
      <c r="C465" s="364"/>
      <c r="E465" s="385" t="s">
        <v>324</v>
      </c>
      <c r="F465" s="15">
        <v>2015</v>
      </c>
      <c r="G465" s="364">
        <v>3</v>
      </c>
      <c r="H465" s="386">
        <v>0</v>
      </c>
      <c r="I465" s="387" t="s">
        <v>86</v>
      </c>
      <c r="J465" s="364">
        <v>5</v>
      </c>
      <c r="K465" s="388">
        <f t="shared" si="283"/>
        <v>2020</v>
      </c>
      <c r="L465" s="21">
        <f t="shared" si="261"/>
        <v>2020.25</v>
      </c>
      <c r="M465" s="365">
        <v>8263.36</v>
      </c>
      <c r="N465" s="19">
        <f t="shared" si="284"/>
        <v>8263.36</v>
      </c>
      <c r="O465" s="19">
        <f t="shared" si="285"/>
        <v>137.72266666666667</v>
      </c>
      <c r="P465" s="19">
        <f t="shared" si="286"/>
        <v>1652.672</v>
      </c>
      <c r="Q465" s="419">
        <f t="shared" si="287"/>
        <v>0</v>
      </c>
      <c r="R465" s="101"/>
      <c r="S465" s="390">
        <f t="shared" si="288"/>
        <v>8263.36</v>
      </c>
      <c r="T465" s="19">
        <f t="shared" si="289"/>
        <v>8263.36</v>
      </c>
      <c r="U465" s="19">
        <f t="shared" si="290"/>
        <v>0</v>
      </c>
    </row>
    <row r="466" spans="2:21">
      <c r="B466" s="15">
        <v>124277</v>
      </c>
      <c r="C466" s="364"/>
      <c r="E466" s="385" t="s">
        <v>329</v>
      </c>
      <c r="F466" s="15">
        <v>2015</v>
      </c>
      <c r="G466" s="364">
        <v>7</v>
      </c>
      <c r="H466" s="386">
        <v>0</v>
      </c>
      <c r="I466" s="387" t="s">
        <v>86</v>
      </c>
      <c r="J466" s="364">
        <v>5</v>
      </c>
      <c r="K466" s="388">
        <f t="shared" si="283"/>
        <v>2020</v>
      </c>
      <c r="L466" s="21">
        <f t="shared" si="261"/>
        <v>2020.5833333333333</v>
      </c>
      <c r="M466" s="365">
        <v>4937</v>
      </c>
      <c r="N466" s="19">
        <f t="shared" si="284"/>
        <v>4937</v>
      </c>
      <c r="O466" s="19">
        <f t="shared" si="285"/>
        <v>82.283333333333331</v>
      </c>
      <c r="P466" s="19">
        <f t="shared" si="286"/>
        <v>987.4</v>
      </c>
      <c r="Q466" s="419">
        <f t="shared" si="287"/>
        <v>0</v>
      </c>
      <c r="R466" s="101"/>
      <c r="S466" s="390">
        <f t="shared" si="288"/>
        <v>4937</v>
      </c>
      <c r="T466" s="19">
        <f t="shared" si="289"/>
        <v>4937</v>
      </c>
      <c r="U466" s="19">
        <f t="shared" si="290"/>
        <v>0</v>
      </c>
    </row>
    <row r="467" spans="2:21">
      <c r="B467" s="15">
        <v>139712</v>
      </c>
      <c r="C467" s="364"/>
      <c r="E467" s="385" t="s">
        <v>345</v>
      </c>
      <c r="F467" s="15">
        <v>2016</v>
      </c>
      <c r="G467" s="364">
        <v>6</v>
      </c>
      <c r="H467" s="394">
        <v>0</v>
      </c>
      <c r="I467" s="387" t="s">
        <v>86</v>
      </c>
      <c r="J467" s="364">
        <v>5</v>
      </c>
      <c r="K467" s="388">
        <f t="shared" si="283"/>
        <v>2021</v>
      </c>
      <c r="L467" s="21">
        <f t="shared" si="261"/>
        <v>2021.5</v>
      </c>
      <c r="M467" s="365">
        <v>30385.43</v>
      </c>
      <c r="N467" s="19">
        <f t="shared" si="284"/>
        <v>30385.43</v>
      </c>
      <c r="O467" s="19">
        <f t="shared" si="285"/>
        <v>506.42383333333333</v>
      </c>
      <c r="P467" s="19">
        <f t="shared" si="286"/>
        <v>6077.0860000000002</v>
      </c>
      <c r="Q467" s="419">
        <f t="shared" si="287"/>
        <v>0</v>
      </c>
      <c r="R467" s="101"/>
      <c r="S467" s="390">
        <f t="shared" si="288"/>
        <v>30385.43</v>
      </c>
      <c r="T467" s="19">
        <f t="shared" si="289"/>
        <v>30385.43</v>
      </c>
      <c r="U467" s="19">
        <f t="shared" si="290"/>
        <v>0</v>
      </c>
    </row>
    <row r="468" spans="2:21">
      <c r="B468" s="15">
        <v>139763</v>
      </c>
      <c r="C468" s="364"/>
      <c r="E468" s="385" t="s">
        <v>324</v>
      </c>
      <c r="F468" s="15">
        <v>2016</v>
      </c>
      <c r="G468" s="364">
        <v>6</v>
      </c>
      <c r="H468" s="386">
        <v>0</v>
      </c>
      <c r="I468" s="387" t="s">
        <v>86</v>
      </c>
      <c r="J468" s="364">
        <v>5</v>
      </c>
      <c r="K468" s="388">
        <f t="shared" si="283"/>
        <v>2021</v>
      </c>
      <c r="L468" s="21">
        <f t="shared" si="261"/>
        <v>2021.5</v>
      </c>
      <c r="M468" s="365">
        <v>12072.05</v>
      </c>
      <c r="N468" s="19">
        <f t="shared" si="284"/>
        <v>12072.05</v>
      </c>
      <c r="O468" s="19">
        <f t="shared" si="285"/>
        <v>201.20083333333332</v>
      </c>
      <c r="P468" s="19">
        <f t="shared" si="286"/>
        <v>2414.41</v>
      </c>
      <c r="Q468" s="419">
        <f t="shared" si="287"/>
        <v>0</v>
      </c>
      <c r="R468" s="101"/>
      <c r="S468" s="390">
        <f t="shared" si="288"/>
        <v>12072.05</v>
      </c>
      <c r="T468" s="19">
        <f t="shared" si="289"/>
        <v>12072.05</v>
      </c>
      <c r="U468" s="19">
        <f t="shared" si="290"/>
        <v>0</v>
      </c>
    </row>
    <row r="469" spans="2:21">
      <c r="B469" s="15">
        <v>170260</v>
      </c>
      <c r="C469" s="364"/>
      <c r="E469" s="385" t="s">
        <v>352</v>
      </c>
      <c r="F469" s="15">
        <v>2016</v>
      </c>
      <c r="G469" s="364">
        <v>11</v>
      </c>
      <c r="H469" s="386">
        <v>0</v>
      </c>
      <c r="I469" s="387" t="s">
        <v>86</v>
      </c>
      <c r="J469" s="364">
        <v>6</v>
      </c>
      <c r="K469" s="388">
        <f t="shared" si="283"/>
        <v>2022</v>
      </c>
      <c r="L469" s="21">
        <f t="shared" si="261"/>
        <v>2022.9166666666667</v>
      </c>
      <c r="M469" s="365">
        <v>9792</v>
      </c>
      <c r="N469" s="19">
        <f t="shared" si="284"/>
        <v>9792</v>
      </c>
      <c r="O469" s="19">
        <f t="shared" si="285"/>
        <v>136</v>
      </c>
      <c r="P469" s="19">
        <f t="shared" si="286"/>
        <v>1632</v>
      </c>
      <c r="Q469" s="419">
        <f t="shared" si="287"/>
        <v>0</v>
      </c>
      <c r="R469" s="101"/>
      <c r="S469" s="390">
        <f t="shared" si="288"/>
        <v>9792</v>
      </c>
      <c r="T469" s="19">
        <f t="shared" si="289"/>
        <v>9792</v>
      </c>
      <c r="U469" s="19">
        <f t="shared" si="290"/>
        <v>0</v>
      </c>
    </row>
    <row r="470" spans="2:21">
      <c r="B470" s="15">
        <v>171239</v>
      </c>
      <c r="C470" s="364"/>
      <c r="E470" s="385" t="s">
        <v>353</v>
      </c>
      <c r="F470" s="15">
        <v>2016</v>
      </c>
      <c r="G470" s="364">
        <v>9</v>
      </c>
      <c r="H470" s="386">
        <v>0</v>
      </c>
      <c r="I470" s="387" t="s">
        <v>86</v>
      </c>
      <c r="J470" s="364">
        <v>3</v>
      </c>
      <c r="K470" s="388">
        <f t="shared" si="283"/>
        <v>2019</v>
      </c>
      <c r="L470" s="21">
        <f t="shared" si="261"/>
        <v>2019.75</v>
      </c>
      <c r="M470" s="365">
        <v>495</v>
      </c>
      <c r="N470" s="19">
        <f t="shared" si="284"/>
        <v>495</v>
      </c>
      <c r="O470" s="19">
        <f t="shared" si="285"/>
        <v>13.75</v>
      </c>
      <c r="P470" s="19">
        <f t="shared" si="286"/>
        <v>165</v>
      </c>
      <c r="Q470" s="419">
        <f t="shared" si="287"/>
        <v>0</v>
      </c>
      <c r="R470" s="101"/>
      <c r="S470" s="390">
        <f t="shared" si="288"/>
        <v>495</v>
      </c>
      <c r="T470" s="19">
        <f t="shared" si="289"/>
        <v>495</v>
      </c>
      <c r="U470" s="19">
        <f t="shared" si="290"/>
        <v>0</v>
      </c>
    </row>
    <row r="471" spans="2:21">
      <c r="B471" s="15">
        <v>171697</v>
      </c>
      <c r="C471" s="364"/>
      <c r="E471" s="385" t="s">
        <v>354</v>
      </c>
      <c r="F471" s="15">
        <v>2016</v>
      </c>
      <c r="G471" s="364">
        <v>9</v>
      </c>
      <c r="H471" s="386">
        <v>0</v>
      </c>
      <c r="I471" s="387" t="s">
        <v>86</v>
      </c>
      <c r="J471" s="364">
        <v>3</v>
      </c>
      <c r="K471" s="388">
        <f t="shared" si="283"/>
        <v>2019</v>
      </c>
      <c r="L471" s="21">
        <f t="shared" ref="L471:L515" si="291">+K471+(G471/12)</f>
        <v>2019.75</v>
      </c>
      <c r="M471" s="365">
        <v>7381.27</v>
      </c>
      <c r="N471" s="19">
        <f t="shared" si="284"/>
        <v>7381.27</v>
      </c>
      <c r="O471" s="19">
        <f t="shared" si="285"/>
        <v>205.03527777777779</v>
      </c>
      <c r="P471" s="19">
        <f t="shared" si="286"/>
        <v>2460.4233333333336</v>
      </c>
      <c r="Q471" s="419">
        <f t="shared" si="287"/>
        <v>0</v>
      </c>
      <c r="R471" s="101"/>
      <c r="S471" s="390">
        <f t="shared" si="288"/>
        <v>7381.27</v>
      </c>
      <c r="T471" s="19">
        <f t="shared" si="289"/>
        <v>7381.27</v>
      </c>
      <c r="U471" s="19">
        <f t="shared" si="290"/>
        <v>0</v>
      </c>
    </row>
    <row r="472" spans="2:21">
      <c r="B472" s="15" t="s">
        <v>384</v>
      </c>
      <c r="C472" s="364"/>
      <c r="E472" s="385" t="s">
        <v>432</v>
      </c>
      <c r="F472" s="15">
        <v>2017</v>
      </c>
      <c r="G472" s="364">
        <v>1</v>
      </c>
      <c r="H472" s="386">
        <v>0</v>
      </c>
      <c r="I472" s="387" t="s">
        <v>86</v>
      </c>
      <c r="J472" s="364">
        <v>3</v>
      </c>
      <c r="K472" s="388">
        <f t="shared" si="283"/>
        <v>2020</v>
      </c>
      <c r="L472" s="21">
        <f t="shared" si="291"/>
        <v>2020.0833333333333</v>
      </c>
      <c r="M472" s="365">
        <v>15393.02</v>
      </c>
      <c r="N472" s="19">
        <f t="shared" si="284"/>
        <v>15393.02</v>
      </c>
      <c r="O472" s="19">
        <f t="shared" si="285"/>
        <v>427.58388888888891</v>
      </c>
      <c r="P472" s="19">
        <f t="shared" si="286"/>
        <v>5131.0066666666671</v>
      </c>
      <c r="Q472" s="419">
        <f t="shared" si="287"/>
        <v>0</v>
      </c>
      <c r="R472" s="101"/>
      <c r="S472" s="390">
        <f t="shared" si="288"/>
        <v>15393.02</v>
      </c>
      <c r="T472" s="19">
        <f t="shared" si="289"/>
        <v>15393.02</v>
      </c>
      <c r="U472" s="19">
        <f t="shared" si="290"/>
        <v>0</v>
      </c>
    </row>
    <row r="473" spans="2:21">
      <c r="B473" s="15">
        <v>185174</v>
      </c>
      <c r="C473" s="364"/>
      <c r="D473" s="388" t="s">
        <v>394</v>
      </c>
      <c r="E473" s="385" t="s">
        <v>359</v>
      </c>
      <c r="F473" s="15">
        <v>2017</v>
      </c>
      <c r="G473" s="364">
        <v>8</v>
      </c>
      <c r="H473" s="386">
        <v>0</v>
      </c>
      <c r="I473" s="387" t="s">
        <v>86</v>
      </c>
      <c r="J473" s="364">
        <v>5</v>
      </c>
      <c r="K473" s="388">
        <f>F473+J473</f>
        <v>2022</v>
      </c>
      <c r="L473" s="21">
        <f>+K473+(G473/12)</f>
        <v>2022.6666666666667</v>
      </c>
      <c r="M473" s="365">
        <v>38000</v>
      </c>
      <c r="N473" s="366">
        <f>M473-M473*H473</f>
        <v>38000</v>
      </c>
      <c r="O473" s="366">
        <f>N473/J473/12</f>
        <v>633.33333333333337</v>
      </c>
      <c r="P473" s="19">
        <f>+O473*12</f>
        <v>7600</v>
      </c>
      <c r="Q473" s="419">
        <f t="shared" si="287"/>
        <v>0</v>
      </c>
      <c r="R473" s="101"/>
      <c r="S473" s="390">
        <f t="shared" si="288"/>
        <v>38000</v>
      </c>
      <c r="T473" s="19">
        <f t="shared" si="289"/>
        <v>38000</v>
      </c>
      <c r="U473" s="19">
        <f t="shared" si="290"/>
        <v>0</v>
      </c>
    </row>
    <row r="474" spans="2:21">
      <c r="B474" s="15" t="s">
        <v>360</v>
      </c>
      <c r="C474" s="364"/>
      <c r="D474" s="388" t="s">
        <v>394</v>
      </c>
      <c r="E474" s="385" t="s">
        <v>361</v>
      </c>
      <c r="F474" s="15">
        <v>2017</v>
      </c>
      <c r="G474" s="364">
        <v>8</v>
      </c>
      <c r="H474" s="386">
        <v>0</v>
      </c>
      <c r="I474" s="387" t="s">
        <v>86</v>
      </c>
      <c r="J474" s="364">
        <v>3</v>
      </c>
      <c r="K474" s="388">
        <f>F474+J474</f>
        <v>2020</v>
      </c>
      <c r="L474" s="21">
        <f>+K474+(G474/12)</f>
        <v>2020.6666666666667</v>
      </c>
      <c r="M474" s="365">
        <v>500</v>
      </c>
      <c r="N474" s="366">
        <f>M474-M474*H474</f>
        <v>500</v>
      </c>
      <c r="O474" s="366">
        <f>N474/J474/12</f>
        <v>13.888888888888888</v>
      </c>
      <c r="P474" s="19">
        <f>+O474*12</f>
        <v>166.66666666666666</v>
      </c>
      <c r="Q474" s="419">
        <f t="shared" si="287"/>
        <v>0</v>
      </c>
      <c r="R474" s="101"/>
      <c r="S474" s="390">
        <f t="shared" si="288"/>
        <v>500</v>
      </c>
      <c r="T474" s="19">
        <f t="shared" si="289"/>
        <v>500</v>
      </c>
      <c r="U474" s="19">
        <f t="shared" si="290"/>
        <v>0</v>
      </c>
    </row>
    <row r="475" spans="2:21">
      <c r="B475" s="15">
        <v>203539</v>
      </c>
      <c r="E475" s="15" t="s">
        <v>486</v>
      </c>
      <c r="F475" s="15">
        <v>2008</v>
      </c>
      <c r="G475" s="364">
        <v>3</v>
      </c>
      <c r="H475" s="23">
        <v>0</v>
      </c>
      <c r="I475" s="387" t="s">
        <v>86</v>
      </c>
      <c r="J475" s="364">
        <v>3</v>
      </c>
      <c r="K475" s="388">
        <f t="shared" ref="K475:K477" si="292">F475+J475</f>
        <v>2011</v>
      </c>
      <c r="L475" s="21">
        <f t="shared" ref="L475:L477" si="293">+K475+(G475/12)</f>
        <v>2011.25</v>
      </c>
      <c r="M475" s="24">
        <v>18000</v>
      </c>
      <c r="N475" s="19">
        <f t="shared" ref="N475:N477" si="294">M475-M475*H475</f>
        <v>18000</v>
      </c>
      <c r="O475" s="19">
        <f t="shared" ref="O475:O477" si="295">N475/J475/12</f>
        <v>500</v>
      </c>
      <c r="P475" s="19">
        <f t="shared" ref="P475:P477" si="296">+O475*12</f>
        <v>6000</v>
      </c>
      <c r="Q475" s="419">
        <f t="shared" si="287"/>
        <v>0</v>
      </c>
      <c r="R475" s="101"/>
      <c r="S475" s="390">
        <f t="shared" si="288"/>
        <v>18000</v>
      </c>
      <c r="T475" s="19">
        <f t="shared" si="289"/>
        <v>18000</v>
      </c>
      <c r="U475" s="19">
        <f t="shared" si="290"/>
        <v>0</v>
      </c>
    </row>
    <row r="476" spans="2:21">
      <c r="B476" s="15">
        <v>206186</v>
      </c>
      <c r="E476" s="15" t="s">
        <v>487</v>
      </c>
      <c r="F476" s="15">
        <v>2018</v>
      </c>
      <c r="G476" s="364">
        <v>3</v>
      </c>
      <c r="H476" s="23">
        <v>0</v>
      </c>
      <c r="I476" s="387" t="s">
        <v>86</v>
      </c>
      <c r="J476" s="364">
        <v>3</v>
      </c>
      <c r="K476" s="388">
        <f t="shared" si="292"/>
        <v>2021</v>
      </c>
      <c r="L476" s="21">
        <f t="shared" si="293"/>
        <v>2021.25</v>
      </c>
      <c r="M476" s="24">
        <v>6467.65</v>
      </c>
      <c r="N476" s="19">
        <f t="shared" si="294"/>
        <v>6467.65</v>
      </c>
      <c r="O476" s="19">
        <f t="shared" si="295"/>
        <v>179.65694444444443</v>
      </c>
      <c r="P476" s="19">
        <f t="shared" si="296"/>
        <v>2155.8833333333332</v>
      </c>
      <c r="Q476" s="419">
        <f t="shared" si="287"/>
        <v>0</v>
      </c>
      <c r="R476" s="101"/>
      <c r="S476" s="390">
        <f t="shared" si="288"/>
        <v>6467.65</v>
      </c>
      <c r="T476" s="19">
        <f t="shared" si="289"/>
        <v>6467.65</v>
      </c>
      <c r="U476" s="19">
        <f t="shared" si="290"/>
        <v>0</v>
      </c>
    </row>
    <row r="477" spans="2:21">
      <c r="B477" s="15">
        <v>228793</v>
      </c>
      <c r="E477" s="15" t="s">
        <v>486</v>
      </c>
      <c r="F477" s="15">
        <v>2008</v>
      </c>
      <c r="G477" s="364">
        <v>11</v>
      </c>
      <c r="H477" s="23">
        <v>0</v>
      </c>
      <c r="I477" s="387" t="s">
        <v>86</v>
      </c>
      <c r="J477" s="364">
        <v>3</v>
      </c>
      <c r="K477" s="388">
        <f t="shared" si="292"/>
        <v>2011</v>
      </c>
      <c r="L477" s="21">
        <f t="shared" si="293"/>
        <v>2011.9166666666667</v>
      </c>
      <c r="M477" s="24">
        <v>18000</v>
      </c>
      <c r="N477" s="19">
        <f t="shared" si="294"/>
        <v>18000</v>
      </c>
      <c r="O477" s="19">
        <f t="shared" si="295"/>
        <v>500</v>
      </c>
      <c r="P477" s="19">
        <f t="shared" si="296"/>
        <v>6000</v>
      </c>
      <c r="Q477" s="419">
        <f t="shared" si="287"/>
        <v>0</v>
      </c>
      <c r="R477" s="101"/>
      <c r="S477" s="390">
        <f t="shared" si="288"/>
        <v>18000</v>
      </c>
      <c r="T477" s="19">
        <f t="shared" si="289"/>
        <v>18000</v>
      </c>
      <c r="U477" s="19">
        <f t="shared" si="290"/>
        <v>0</v>
      </c>
    </row>
    <row r="478" spans="2:21">
      <c r="E478" s="385"/>
      <c r="H478" s="386"/>
      <c r="I478" s="387"/>
      <c r="K478" s="388"/>
      <c r="L478" s="21"/>
      <c r="N478" s="366"/>
      <c r="O478" s="366"/>
      <c r="P478" s="19"/>
      <c r="Q478" s="19"/>
      <c r="R478" s="366"/>
      <c r="S478" s="366"/>
      <c r="T478" s="366"/>
      <c r="U478" s="366"/>
    </row>
    <row r="479" spans="2:21">
      <c r="D479" s="16"/>
      <c r="E479" s="406" t="s">
        <v>254</v>
      </c>
      <c r="F479" s="406"/>
      <c r="G479" s="405"/>
      <c r="H479" s="405"/>
      <c r="I479" s="416"/>
      <c r="J479" s="414"/>
      <c r="K479" s="417"/>
      <c r="L479" s="54"/>
      <c r="M479" s="421">
        <f t="shared" ref="M479:U479" si="297">SUM(M441:M478)</f>
        <v>326437.18</v>
      </c>
      <c r="N479" s="421">
        <f t="shared" si="297"/>
        <v>326437.18</v>
      </c>
      <c r="O479" s="421">
        <f t="shared" si="297"/>
        <v>5839.7939206349201</v>
      </c>
      <c r="P479" s="421">
        <f t="shared" si="297"/>
        <v>70077.527047619049</v>
      </c>
      <c r="Q479" s="421">
        <f t="shared" si="297"/>
        <v>0</v>
      </c>
      <c r="R479" s="421">
        <f t="shared" si="297"/>
        <v>0</v>
      </c>
      <c r="S479" s="421">
        <f t="shared" si="297"/>
        <v>321407.27999999997</v>
      </c>
      <c r="T479" s="421">
        <f t="shared" si="297"/>
        <v>326437.18</v>
      </c>
      <c r="U479" s="421">
        <f t="shared" si="297"/>
        <v>0</v>
      </c>
    </row>
    <row r="480" spans="2:21">
      <c r="E480" s="385"/>
      <c r="H480" s="386"/>
      <c r="I480" s="387"/>
      <c r="K480" s="388"/>
      <c r="L480" s="21"/>
      <c r="N480" s="366"/>
      <c r="O480" s="366"/>
      <c r="P480" s="19"/>
      <c r="Q480" s="19"/>
      <c r="R480" s="366"/>
      <c r="S480" s="366"/>
      <c r="T480" s="366"/>
      <c r="U480" s="366"/>
    </row>
    <row r="481" spans="2:21">
      <c r="E481" s="427" t="s">
        <v>656</v>
      </c>
      <c r="I481" s="387"/>
      <c r="K481" s="388"/>
      <c r="L481" s="21"/>
      <c r="N481" s="366"/>
      <c r="O481" s="366"/>
      <c r="P481" s="19"/>
      <c r="Q481" s="19"/>
      <c r="R481" s="366"/>
      <c r="S481" s="366"/>
      <c r="T481" s="366"/>
      <c r="U481" s="366"/>
    </row>
    <row r="482" spans="2:21">
      <c r="B482" s="15">
        <v>90451</v>
      </c>
      <c r="D482" s="15" t="s">
        <v>273</v>
      </c>
      <c r="E482" s="15" t="s">
        <v>274</v>
      </c>
      <c r="F482" s="15">
        <v>2012</v>
      </c>
      <c r="G482" s="364">
        <v>1</v>
      </c>
      <c r="H482" s="386">
        <v>0</v>
      </c>
      <c r="I482" s="387" t="s">
        <v>86</v>
      </c>
      <c r="J482" s="364">
        <v>5</v>
      </c>
      <c r="K482" s="388">
        <f t="shared" ref="K482:K490" si="298">F482+J482</f>
        <v>2017</v>
      </c>
      <c r="L482" s="21">
        <f t="shared" si="291"/>
        <v>2017.0833333333333</v>
      </c>
      <c r="M482" s="365">
        <v>559.78</v>
      </c>
      <c r="N482" s="366">
        <f t="shared" ref="N482:N490" si="299">M482-M482*H482</f>
        <v>559.78</v>
      </c>
      <c r="O482" s="366">
        <f t="shared" ref="O482:O490" si="300">N482/J482/12</f>
        <v>9.3296666666666663</v>
      </c>
      <c r="P482" s="19">
        <f t="shared" ref="P482:P490" si="301">+O482*12</f>
        <v>111.95599999999999</v>
      </c>
      <c r="Q482" s="419">
        <f t="shared" ref="Q482:Q490" si="302">+IF(L482&gt;$N$6,P482,0)</f>
        <v>0</v>
      </c>
      <c r="R482" s="101"/>
      <c r="S482" s="390">
        <f t="shared" ref="S482:S490" si="303">+IF($L482&lt;=$N$7,$M482,IF(($F482+($G482/12))&gt;=$N$7,0,((($N482-((($L482-$N$7)*12)*$O482))))))</f>
        <v>559.78</v>
      </c>
      <c r="T482" s="19">
        <f t="shared" ref="T482:T490" si="304">IF(L482&lt;=$N$6,M482,Q482+S482)</f>
        <v>559.78</v>
      </c>
      <c r="U482" s="19">
        <f t="shared" ref="U482:U490" si="305">+M482-T482</f>
        <v>0</v>
      </c>
    </row>
    <row r="483" spans="2:21">
      <c r="B483" s="15">
        <v>93958</v>
      </c>
      <c r="E483" s="15" t="s">
        <v>289</v>
      </c>
      <c r="F483" s="15">
        <v>2012</v>
      </c>
      <c r="G483" s="364">
        <v>5</v>
      </c>
      <c r="H483" s="386">
        <v>0</v>
      </c>
      <c r="I483" s="387" t="s">
        <v>86</v>
      </c>
      <c r="J483" s="364">
        <v>5</v>
      </c>
      <c r="K483" s="388">
        <f t="shared" si="298"/>
        <v>2017</v>
      </c>
      <c r="L483" s="21">
        <f t="shared" si="291"/>
        <v>2017.4166666666667</v>
      </c>
      <c r="M483" s="365">
        <v>950</v>
      </c>
      <c r="N483" s="366">
        <f t="shared" si="299"/>
        <v>950</v>
      </c>
      <c r="O483" s="366">
        <f t="shared" si="300"/>
        <v>15.833333333333334</v>
      </c>
      <c r="P483" s="19">
        <f t="shared" si="301"/>
        <v>190</v>
      </c>
      <c r="Q483" s="419">
        <f t="shared" si="302"/>
        <v>0</v>
      </c>
      <c r="R483" s="101"/>
      <c r="S483" s="390">
        <f t="shared" si="303"/>
        <v>950</v>
      </c>
      <c r="T483" s="19">
        <f t="shared" si="304"/>
        <v>950</v>
      </c>
      <c r="U483" s="19">
        <f t="shared" si="305"/>
        <v>0</v>
      </c>
    </row>
    <row r="484" spans="2:21">
      <c r="B484" s="15">
        <v>113270</v>
      </c>
      <c r="E484" s="15" t="s">
        <v>313</v>
      </c>
      <c r="F484" s="15">
        <v>2014</v>
      </c>
      <c r="G484" s="364">
        <v>4</v>
      </c>
      <c r="H484" s="386">
        <v>0</v>
      </c>
      <c r="I484" s="387" t="s">
        <v>86</v>
      </c>
      <c r="J484" s="364">
        <v>5</v>
      </c>
      <c r="K484" s="388">
        <f t="shared" si="298"/>
        <v>2019</v>
      </c>
      <c r="L484" s="21">
        <f t="shared" si="291"/>
        <v>2019.3333333333333</v>
      </c>
      <c r="M484" s="365">
        <v>1013.04</v>
      </c>
      <c r="N484" s="366">
        <f t="shared" si="299"/>
        <v>1013.04</v>
      </c>
      <c r="O484" s="366">
        <f t="shared" si="300"/>
        <v>16.884</v>
      </c>
      <c r="P484" s="19">
        <f t="shared" si="301"/>
        <v>202.608</v>
      </c>
      <c r="Q484" s="419">
        <f t="shared" si="302"/>
        <v>0</v>
      </c>
      <c r="R484" s="101"/>
      <c r="S484" s="390">
        <f t="shared" si="303"/>
        <v>1013.04</v>
      </c>
      <c r="T484" s="19">
        <f t="shared" si="304"/>
        <v>1013.04</v>
      </c>
      <c r="U484" s="19">
        <f t="shared" si="305"/>
        <v>0</v>
      </c>
    </row>
    <row r="485" spans="2:21">
      <c r="B485" s="15">
        <v>122702</v>
      </c>
      <c r="D485" s="15">
        <v>2</v>
      </c>
      <c r="E485" s="15" t="s">
        <v>325</v>
      </c>
      <c r="F485" s="15">
        <v>2015</v>
      </c>
      <c r="G485" s="364">
        <v>4</v>
      </c>
      <c r="H485" s="386">
        <v>0</v>
      </c>
      <c r="I485" s="387" t="s">
        <v>86</v>
      </c>
      <c r="J485" s="364">
        <v>5</v>
      </c>
      <c r="K485" s="388">
        <f t="shared" si="298"/>
        <v>2020</v>
      </c>
      <c r="L485" s="21">
        <f t="shared" si="291"/>
        <v>2020.3333333333333</v>
      </c>
      <c r="M485" s="365">
        <v>655</v>
      </c>
      <c r="N485" s="366">
        <f t="shared" si="299"/>
        <v>655</v>
      </c>
      <c r="O485" s="366">
        <f t="shared" si="300"/>
        <v>10.916666666666666</v>
      </c>
      <c r="P485" s="19">
        <f t="shared" si="301"/>
        <v>131</v>
      </c>
      <c r="Q485" s="419">
        <f t="shared" si="302"/>
        <v>0</v>
      </c>
      <c r="R485" s="101"/>
      <c r="S485" s="390">
        <f t="shared" si="303"/>
        <v>655</v>
      </c>
      <c r="T485" s="19">
        <f t="shared" si="304"/>
        <v>655</v>
      </c>
      <c r="U485" s="19">
        <f t="shared" si="305"/>
        <v>0</v>
      </c>
    </row>
    <row r="486" spans="2:21">
      <c r="B486" s="15">
        <v>169283</v>
      </c>
      <c r="D486" s="15" t="s">
        <v>273</v>
      </c>
      <c r="E486" s="15" t="s">
        <v>349</v>
      </c>
      <c r="F486" s="15">
        <v>2016</v>
      </c>
      <c r="G486" s="364">
        <v>9</v>
      </c>
      <c r="H486" s="386">
        <v>0</v>
      </c>
      <c r="I486" s="387" t="s">
        <v>86</v>
      </c>
      <c r="J486" s="364">
        <v>2</v>
      </c>
      <c r="K486" s="388">
        <f t="shared" si="298"/>
        <v>2018</v>
      </c>
      <c r="L486" s="21">
        <f t="shared" si="291"/>
        <v>2018.75</v>
      </c>
      <c r="M486" s="365">
        <v>1425.16</v>
      </c>
      <c r="N486" s="366">
        <f t="shared" si="299"/>
        <v>1425.16</v>
      </c>
      <c r="O486" s="366">
        <f t="shared" si="300"/>
        <v>59.381666666666668</v>
      </c>
      <c r="P486" s="19">
        <f t="shared" si="301"/>
        <v>712.58</v>
      </c>
      <c r="Q486" s="419">
        <f t="shared" si="302"/>
        <v>0</v>
      </c>
      <c r="R486" s="101"/>
      <c r="S486" s="390">
        <f t="shared" si="303"/>
        <v>1425.16</v>
      </c>
      <c r="T486" s="19">
        <f t="shared" si="304"/>
        <v>1425.16</v>
      </c>
      <c r="U486" s="19">
        <f t="shared" si="305"/>
        <v>0</v>
      </c>
    </row>
    <row r="487" spans="2:21">
      <c r="B487" s="15">
        <v>183282</v>
      </c>
      <c r="E487" s="15" t="s">
        <v>376</v>
      </c>
      <c r="F487" s="15">
        <v>2017</v>
      </c>
      <c r="G487" s="364">
        <v>5</v>
      </c>
      <c r="H487" s="386">
        <v>0</v>
      </c>
      <c r="I487" s="387" t="s">
        <v>86</v>
      </c>
      <c r="J487" s="364">
        <v>3</v>
      </c>
      <c r="K487" s="388">
        <f t="shared" si="298"/>
        <v>2020</v>
      </c>
      <c r="L487" s="21">
        <f t="shared" si="291"/>
        <v>2020.4166666666667</v>
      </c>
      <c r="M487" s="365">
        <v>510.23</v>
      </c>
      <c r="N487" s="366">
        <f t="shared" si="299"/>
        <v>510.23</v>
      </c>
      <c r="O487" s="366">
        <f t="shared" si="300"/>
        <v>14.173055555555557</v>
      </c>
      <c r="P487" s="19">
        <f t="shared" si="301"/>
        <v>170.07666666666668</v>
      </c>
      <c r="Q487" s="419">
        <f t="shared" si="302"/>
        <v>0</v>
      </c>
      <c r="R487" s="101"/>
      <c r="S487" s="390">
        <f t="shared" si="303"/>
        <v>510.23</v>
      </c>
      <c r="T487" s="19">
        <f t="shared" si="304"/>
        <v>510.23</v>
      </c>
      <c r="U487" s="19">
        <f t="shared" si="305"/>
        <v>0</v>
      </c>
    </row>
    <row r="488" spans="2:21">
      <c r="B488" s="15">
        <v>182212</v>
      </c>
      <c r="E488" s="15" t="s">
        <v>390</v>
      </c>
      <c r="F488" s="15">
        <v>2017</v>
      </c>
      <c r="G488" s="364">
        <v>5</v>
      </c>
      <c r="H488" s="386">
        <v>0</v>
      </c>
      <c r="I488" s="387" t="s">
        <v>86</v>
      </c>
      <c r="J488" s="364">
        <v>3</v>
      </c>
      <c r="K488" s="388">
        <f t="shared" si="298"/>
        <v>2020</v>
      </c>
      <c r="L488" s="21">
        <f t="shared" si="291"/>
        <v>2020.4166666666667</v>
      </c>
      <c r="M488" s="365">
        <v>1360.13</v>
      </c>
      <c r="N488" s="366">
        <f t="shared" si="299"/>
        <v>1360.13</v>
      </c>
      <c r="O488" s="366">
        <f t="shared" si="300"/>
        <v>37.781388888888891</v>
      </c>
      <c r="P488" s="19">
        <f t="shared" si="301"/>
        <v>453.37666666666667</v>
      </c>
      <c r="Q488" s="419">
        <f t="shared" si="302"/>
        <v>0</v>
      </c>
      <c r="R488" s="101"/>
      <c r="S488" s="390">
        <f t="shared" si="303"/>
        <v>1360.13</v>
      </c>
      <c r="T488" s="19">
        <f t="shared" si="304"/>
        <v>1360.13</v>
      </c>
      <c r="U488" s="19">
        <f t="shared" si="305"/>
        <v>0</v>
      </c>
    </row>
    <row r="489" spans="2:21">
      <c r="B489" s="15">
        <v>182211</v>
      </c>
      <c r="E489" s="15" t="s">
        <v>391</v>
      </c>
      <c r="F489" s="15">
        <v>2017</v>
      </c>
      <c r="G489" s="364">
        <v>4</v>
      </c>
      <c r="H489" s="386">
        <v>0</v>
      </c>
      <c r="I489" s="387" t="s">
        <v>86</v>
      </c>
      <c r="J489" s="364">
        <v>3</v>
      </c>
      <c r="K489" s="388">
        <f t="shared" si="298"/>
        <v>2020</v>
      </c>
      <c r="L489" s="21">
        <f t="shared" si="291"/>
        <v>2020.3333333333333</v>
      </c>
      <c r="M489" s="365">
        <v>1016.67</v>
      </c>
      <c r="N489" s="366">
        <f t="shared" si="299"/>
        <v>1016.67</v>
      </c>
      <c r="O489" s="366">
        <f t="shared" si="300"/>
        <v>28.240833333333331</v>
      </c>
      <c r="P489" s="19">
        <f t="shared" si="301"/>
        <v>338.89</v>
      </c>
      <c r="Q489" s="419">
        <f t="shared" si="302"/>
        <v>0</v>
      </c>
      <c r="R489" s="101"/>
      <c r="S489" s="390">
        <f t="shared" si="303"/>
        <v>1016.67</v>
      </c>
      <c r="T489" s="19">
        <f t="shared" si="304"/>
        <v>1016.67</v>
      </c>
      <c r="U489" s="19">
        <f t="shared" si="305"/>
        <v>0</v>
      </c>
    </row>
    <row r="490" spans="2:21">
      <c r="B490" s="15">
        <v>182210</v>
      </c>
      <c r="E490" s="15" t="s">
        <v>392</v>
      </c>
      <c r="F490" s="15">
        <v>2017</v>
      </c>
      <c r="G490" s="364">
        <v>4</v>
      </c>
      <c r="H490" s="386">
        <v>0</v>
      </c>
      <c r="I490" s="387" t="s">
        <v>86</v>
      </c>
      <c r="J490" s="364">
        <v>3</v>
      </c>
      <c r="K490" s="388">
        <f t="shared" si="298"/>
        <v>2020</v>
      </c>
      <c r="L490" s="21">
        <f t="shared" si="291"/>
        <v>2020.3333333333333</v>
      </c>
      <c r="M490" s="365">
        <v>1016.66</v>
      </c>
      <c r="N490" s="366">
        <f t="shared" si="299"/>
        <v>1016.66</v>
      </c>
      <c r="O490" s="366">
        <f t="shared" si="300"/>
        <v>28.240555555555556</v>
      </c>
      <c r="P490" s="19">
        <f t="shared" si="301"/>
        <v>338.88666666666666</v>
      </c>
      <c r="Q490" s="419">
        <f t="shared" si="302"/>
        <v>0</v>
      </c>
      <c r="R490" s="101"/>
      <c r="S490" s="390">
        <f t="shared" si="303"/>
        <v>1016.66</v>
      </c>
      <c r="T490" s="19">
        <f t="shared" si="304"/>
        <v>1016.66</v>
      </c>
      <c r="U490" s="19">
        <f t="shared" si="305"/>
        <v>0</v>
      </c>
    </row>
    <row r="491" spans="2:21">
      <c r="I491" s="387"/>
      <c r="K491" s="388"/>
      <c r="L491" s="21"/>
      <c r="M491" s="433"/>
      <c r="N491" s="366"/>
      <c r="O491" s="366"/>
      <c r="P491" s="19"/>
      <c r="Q491" s="19"/>
      <c r="R491" s="366"/>
      <c r="S491" s="366"/>
      <c r="T491" s="366"/>
      <c r="U491" s="366"/>
    </row>
    <row r="492" spans="2:21">
      <c r="E492" s="406" t="s">
        <v>275</v>
      </c>
      <c r="F492" s="413"/>
      <c r="G492" s="414"/>
      <c r="H492" s="414"/>
      <c r="I492" s="416"/>
      <c r="J492" s="414"/>
      <c r="K492" s="417"/>
      <c r="L492" s="54"/>
      <c r="M492" s="421">
        <f t="shared" ref="M492:U492" si="306">SUM(M482:M491)</f>
        <v>8506.67</v>
      </c>
      <c r="N492" s="421">
        <f t="shared" si="306"/>
        <v>8506.67</v>
      </c>
      <c r="O492" s="421">
        <f t="shared" si="306"/>
        <v>220.78116666666668</v>
      </c>
      <c r="P492" s="421">
        <f t="shared" si="306"/>
        <v>2649.3740000000003</v>
      </c>
      <c r="Q492" s="421">
        <f t="shared" si="306"/>
        <v>0</v>
      </c>
      <c r="R492" s="421">
        <f t="shared" si="306"/>
        <v>0</v>
      </c>
      <c r="S492" s="421">
        <f t="shared" si="306"/>
        <v>8506.67</v>
      </c>
      <c r="T492" s="421">
        <f t="shared" si="306"/>
        <v>8506.67</v>
      </c>
      <c r="U492" s="421">
        <f t="shared" si="306"/>
        <v>0</v>
      </c>
    </row>
    <row r="493" spans="2:21">
      <c r="L493" s="21"/>
    </row>
    <row r="494" spans="2:21">
      <c r="E494" s="427" t="s">
        <v>305</v>
      </c>
      <c r="L494" s="21"/>
    </row>
    <row r="495" spans="2:21">
      <c r="E495" s="15" t="s">
        <v>276</v>
      </c>
      <c r="F495" s="15">
        <v>2003</v>
      </c>
      <c r="G495" s="364">
        <v>1</v>
      </c>
      <c r="H495" s="386">
        <v>0</v>
      </c>
      <c r="I495" s="387" t="s">
        <v>86</v>
      </c>
      <c r="J495" s="364">
        <v>5</v>
      </c>
      <c r="K495" s="388">
        <f t="shared" ref="K495:K515" si="307">F495+J495</f>
        <v>2008</v>
      </c>
      <c r="L495" s="21">
        <f t="shared" si="291"/>
        <v>2008.0833333333333</v>
      </c>
      <c r="M495" s="365">
        <v>896</v>
      </c>
      <c r="N495" s="366">
        <f t="shared" ref="N495:N510" si="308">M495-M495*H495</f>
        <v>896</v>
      </c>
      <c r="O495" s="366">
        <f t="shared" ref="O495:O510" si="309">N495/J495/12</f>
        <v>14.933333333333332</v>
      </c>
      <c r="P495" s="19">
        <f t="shared" ref="P495:P510" si="310">+O495*12</f>
        <v>179.2</v>
      </c>
      <c r="Q495" s="419">
        <f t="shared" ref="Q495:Q516" si="311">+IF(L495&gt;$N$6,P495,0)</f>
        <v>0</v>
      </c>
      <c r="R495" s="101"/>
      <c r="S495" s="390">
        <f t="shared" ref="S495:S516" si="312">+IF($L495&lt;=$N$7,$M495,IF(($F495+($G495/12))&gt;=$N$7,0,((($N495-((($L495-$N$7)*12)*$O495))))))</f>
        <v>896</v>
      </c>
      <c r="T495" s="19">
        <f t="shared" ref="T495:T516" si="313">IF(L495&lt;=$N$6,M495,Q495+S495)</f>
        <v>896</v>
      </c>
      <c r="U495" s="19">
        <f t="shared" ref="U495:U516" si="314">+M495-T495</f>
        <v>0</v>
      </c>
    </row>
    <row r="496" spans="2:21">
      <c r="E496" s="15" t="s">
        <v>24</v>
      </c>
      <c r="F496" s="15">
        <v>2003</v>
      </c>
      <c r="G496" s="364">
        <v>1</v>
      </c>
      <c r="H496" s="386">
        <v>0</v>
      </c>
      <c r="I496" s="387" t="s">
        <v>86</v>
      </c>
      <c r="J496" s="364">
        <v>10</v>
      </c>
      <c r="K496" s="388">
        <f t="shared" si="307"/>
        <v>2013</v>
      </c>
      <c r="L496" s="21">
        <f t="shared" si="291"/>
        <v>2013.0833333333333</v>
      </c>
      <c r="M496" s="365">
        <v>11846</v>
      </c>
      <c r="N496" s="366">
        <f t="shared" si="308"/>
        <v>11846</v>
      </c>
      <c r="O496" s="366">
        <f t="shared" si="309"/>
        <v>98.716666666666654</v>
      </c>
      <c r="P496" s="19">
        <f t="shared" si="310"/>
        <v>1184.5999999999999</v>
      </c>
      <c r="Q496" s="419">
        <f t="shared" si="311"/>
        <v>0</v>
      </c>
      <c r="R496" s="101"/>
      <c r="S496" s="390">
        <f t="shared" si="312"/>
        <v>11846</v>
      </c>
      <c r="T496" s="19">
        <f t="shared" si="313"/>
        <v>11846</v>
      </c>
      <c r="U496" s="19">
        <f t="shared" si="314"/>
        <v>0</v>
      </c>
    </row>
    <row r="497" spans="2:21">
      <c r="E497" s="385" t="s">
        <v>277</v>
      </c>
      <c r="F497" s="15">
        <v>2005</v>
      </c>
      <c r="G497" s="364">
        <v>10</v>
      </c>
      <c r="H497" s="386">
        <v>0</v>
      </c>
      <c r="I497" s="387" t="s">
        <v>86</v>
      </c>
      <c r="J497" s="364">
        <v>10</v>
      </c>
      <c r="K497" s="388">
        <f t="shared" si="307"/>
        <v>2015</v>
      </c>
      <c r="L497" s="21">
        <f t="shared" si="291"/>
        <v>2015.8333333333333</v>
      </c>
      <c r="M497" s="365">
        <v>4273.5200000000004</v>
      </c>
      <c r="N497" s="366">
        <f t="shared" si="308"/>
        <v>4273.5200000000004</v>
      </c>
      <c r="O497" s="366">
        <f t="shared" si="309"/>
        <v>35.612666666666669</v>
      </c>
      <c r="P497" s="19">
        <f t="shared" si="310"/>
        <v>427.35200000000003</v>
      </c>
      <c r="Q497" s="419">
        <f t="shared" si="311"/>
        <v>0</v>
      </c>
      <c r="R497" s="101"/>
      <c r="S497" s="390">
        <f t="shared" si="312"/>
        <v>4273.5200000000004</v>
      </c>
      <c r="T497" s="19">
        <f t="shared" si="313"/>
        <v>4273.5200000000004</v>
      </c>
      <c r="U497" s="19">
        <f t="shared" si="314"/>
        <v>0</v>
      </c>
    </row>
    <row r="498" spans="2:21">
      <c r="E498" s="385" t="s">
        <v>278</v>
      </c>
      <c r="F498" s="15">
        <v>2008</v>
      </c>
      <c r="G498" s="364">
        <v>5</v>
      </c>
      <c r="H498" s="386">
        <v>0</v>
      </c>
      <c r="I498" s="387" t="s">
        <v>86</v>
      </c>
      <c r="J498" s="364">
        <v>3</v>
      </c>
      <c r="K498" s="388">
        <f t="shared" si="307"/>
        <v>2011</v>
      </c>
      <c r="L498" s="21">
        <f t="shared" si="291"/>
        <v>2011.4166666666667</v>
      </c>
      <c r="M498" s="365">
        <v>2786.96</v>
      </c>
      <c r="N498" s="366">
        <f t="shared" si="308"/>
        <v>2786.96</v>
      </c>
      <c r="O498" s="366">
        <f t="shared" si="309"/>
        <v>77.415555555555557</v>
      </c>
      <c r="P498" s="19">
        <f t="shared" si="310"/>
        <v>928.98666666666668</v>
      </c>
      <c r="Q498" s="419">
        <f t="shared" si="311"/>
        <v>0</v>
      </c>
      <c r="R498" s="101"/>
      <c r="S498" s="390">
        <f t="shared" si="312"/>
        <v>2786.96</v>
      </c>
      <c r="T498" s="19">
        <f t="shared" si="313"/>
        <v>2786.96</v>
      </c>
      <c r="U498" s="19">
        <f t="shared" si="314"/>
        <v>0</v>
      </c>
    </row>
    <row r="499" spans="2:21">
      <c r="E499" s="385" t="s">
        <v>279</v>
      </c>
      <c r="F499" s="15">
        <v>2009</v>
      </c>
      <c r="G499" s="364">
        <v>7</v>
      </c>
      <c r="H499" s="386">
        <v>0</v>
      </c>
      <c r="I499" s="387" t="s">
        <v>86</v>
      </c>
      <c r="J499" s="364">
        <v>10</v>
      </c>
      <c r="K499" s="388">
        <f t="shared" si="307"/>
        <v>2019</v>
      </c>
      <c r="L499" s="21">
        <f t="shared" si="291"/>
        <v>2019.5833333333333</v>
      </c>
      <c r="M499" s="365">
        <v>9000</v>
      </c>
      <c r="N499" s="366">
        <f t="shared" si="308"/>
        <v>9000</v>
      </c>
      <c r="O499" s="366">
        <f t="shared" si="309"/>
        <v>75</v>
      </c>
      <c r="P499" s="19">
        <f t="shared" si="310"/>
        <v>900</v>
      </c>
      <c r="Q499" s="419">
        <f t="shared" si="311"/>
        <v>0</v>
      </c>
      <c r="R499" s="101"/>
      <c r="S499" s="390">
        <f t="shared" si="312"/>
        <v>9000</v>
      </c>
      <c r="T499" s="19">
        <f t="shared" si="313"/>
        <v>9000</v>
      </c>
      <c r="U499" s="19">
        <f t="shared" si="314"/>
        <v>0</v>
      </c>
    </row>
    <row r="500" spans="2:21">
      <c r="E500" s="385" t="s">
        <v>280</v>
      </c>
      <c r="F500" s="15">
        <v>2009</v>
      </c>
      <c r="G500" s="364">
        <v>7</v>
      </c>
      <c r="H500" s="386">
        <v>0</v>
      </c>
      <c r="I500" s="387" t="s">
        <v>86</v>
      </c>
      <c r="J500" s="364">
        <v>10</v>
      </c>
      <c r="K500" s="388">
        <f t="shared" si="307"/>
        <v>2019</v>
      </c>
      <c r="L500" s="21">
        <f t="shared" si="291"/>
        <v>2019.5833333333333</v>
      </c>
      <c r="M500" s="365">
        <v>9687</v>
      </c>
      <c r="N500" s="366">
        <f t="shared" si="308"/>
        <v>9687</v>
      </c>
      <c r="O500" s="366">
        <f t="shared" si="309"/>
        <v>80.725000000000009</v>
      </c>
      <c r="P500" s="19">
        <f t="shared" si="310"/>
        <v>968.7</v>
      </c>
      <c r="Q500" s="419">
        <f t="shared" si="311"/>
        <v>0</v>
      </c>
      <c r="R500" s="101"/>
      <c r="S500" s="390">
        <f t="shared" si="312"/>
        <v>9687</v>
      </c>
      <c r="T500" s="19">
        <f t="shared" si="313"/>
        <v>9687</v>
      </c>
      <c r="U500" s="19">
        <f t="shared" si="314"/>
        <v>0</v>
      </c>
    </row>
    <row r="501" spans="2:21">
      <c r="E501" s="385" t="s">
        <v>281</v>
      </c>
      <c r="F501" s="15">
        <v>2010</v>
      </c>
      <c r="G501" s="364">
        <v>2</v>
      </c>
      <c r="H501" s="386">
        <v>0</v>
      </c>
      <c r="I501" s="387" t="s">
        <v>86</v>
      </c>
      <c r="J501" s="364">
        <v>10</v>
      </c>
      <c r="K501" s="388">
        <f t="shared" si="307"/>
        <v>2020</v>
      </c>
      <c r="L501" s="21">
        <f t="shared" si="291"/>
        <v>2020.1666666666667</v>
      </c>
      <c r="M501" s="365">
        <v>1470.45</v>
      </c>
      <c r="N501" s="366">
        <f t="shared" si="308"/>
        <v>1470.45</v>
      </c>
      <c r="O501" s="366">
        <f t="shared" si="309"/>
        <v>12.253750000000002</v>
      </c>
      <c r="P501" s="19">
        <f t="shared" si="310"/>
        <v>147.04500000000002</v>
      </c>
      <c r="Q501" s="419">
        <f t="shared" si="311"/>
        <v>0</v>
      </c>
      <c r="R501" s="101"/>
      <c r="S501" s="390">
        <f t="shared" si="312"/>
        <v>1470.45</v>
      </c>
      <c r="T501" s="19">
        <f t="shared" si="313"/>
        <v>1470.45</v>
      </c>
      <c r="U501" s="19">
        <f t="shared" si="314"/>
        <v>0</v>
      </c>
    </row>
    <row r="502" spans="2:21">
      <c r="E502" s="385" t="s">
        <v>282</v>
      </c>
      <c r="F502" s="15">
        <v>2010</v>
      </c>
      <c r="G502" s="364">
        <v>7</v>
      </c>
      <c r="H502" s="386">
        <v>0</v>
      </c>
      <c r="I502" s="387" t="s">
        <v>86</v>
      </c>
      <c r="J502" s="364">
        <v>10</v>
      </c>
      <c r="K502" s="388">
        <f t="shared" si="307"/>
        <v>2020</v>
      </c>
      <c r="L502" s="21">
        <f t="shared" si="291"/>
        <v>2020.5833333333333</v>
      </c>
      <c r="M502" s="365">
        <v>65592.52</v>
      </c>
      <c r="N502" s="366">
        <f t="shared" si="308"/>
        <v>65592.52</v>
      </c>
      <c r="O502" s="366">
        <f t="shared" si="309"/>
        <v>546.60433333333333</v>
      </c>
      <c r="P502" s="19">
        <f t="shared" si="310"/>
        <v>6559.2520000000004</v>
      </c>
      <c r="Q502" s="419">
        <f t="shared" si="311"/>
        <v>0</v>
      </c>
      <c r="R502" s="101"/>
      <c r="S502" s="390">
        <f t="shared" si="312"/>
        <v>65592.52</v>
      </c>
      <c r="T502" s="19">
        <f t="shared" si="313"/>
        <v>65592.52</v>
      </c>
      <c r="U502" s="19">
        <f t="shared" si="314"/>
        <v>0</v>
      </c>
    </row>
    <row r="503" spans="2:21">
      <c r="E503" s="385" t="s">
        <v>283</v>
      </c>
      <c r="F503" s="15">
        <v>2011</v>
      </c>
      <c r="G503" s="364">
        <v>3</v>
      </c>
      <c r="H503" s="386">
        <v>0</v>
      </c>
      <c r="I503" s="387" t="s">
        <v>86</v>
      </c>
      <c r="J503" s="364">
        <v>20</v>
      </c>
      <c r="K503" s="388">
        <f t="shared" si="307"/>
        <v>2031</v>
      </c>
      <c r="L503" s="21">
        <f t="shared" si="291"/>
        <v>2031.25</v>
      </c>
      <c r="M503" s="365">
        <f>613.03+85803.33+72899+2665+1853+730.63+67750+1738.83+58.38+2444.87+2444.88-M502</f>
        <v>173408.43</v>
      </c>
      <c r="N503" s="366">
        <f t="shared" si="308"/>
        <v>173408.43</v>
      </c>
      <c r="O503" s="366">
        <f t="shared" si="309"/>
        <v>722.53512499999999</v>
      </c>
      <c r="P503" s="19">
        <f t="shared" si="310"/>
        <v>8670.4215000000004</v>
      </c>
      <c r="Q503" s="419">
        <f t="shared" si="311"/>
        <v>8670.4215000000004</v>
      </c>
      <c r="R503" s="101"/>
      <c r="S503" s="390">
        <f t="shared" si="312"/>
        <v>104045.05799999999</v>
      </c>
      <c r="T503" s="19">
        <f t="shared" si="313"/>
        <v>112715.47949999999</v>
      </c>
      <c r="U503" s="19">
        <f t="shared" si="314"/>
        <v>60692.950500000006</v>
      </c>
    </row>
    <row r="504" spans="2:21">
      <c r="E504" s="385" t="s">
        <v>284</v>
      </c>
      <c r="F504" s="15">
        <v>2011</v>
      </c>
      <c r="G504" s="364">
        <v>9</v>
      </c>
      <c r="H504" s="386">
        <v>0</v>
      </c>
      <c r="I504" s="387" t="s">
        <v>86</v>
      </c>
      <c r="J504" s="364">
        <v>7</v>
      </c>
      <c r="K504" s="388">
        <f t="shared" si="307"/>
        <v>2018</v>
      </c>
      <c r="L504" s="21">
        <f t="shared" si="291"/>
        <v>2018.75</v>
      </c>
      <c r="M504" s="365">
        <v>2840.07</v>
      </c>
      <c r="N504" s="366">
        <f t="shared" si="308"/>
        <v>2840.07</v>
      </c>
      <c r="O504" s="366">
        <f t="shared" si="309"/>
        <v>33.810357142857143</v>
      </c>
      <c r="P504" s="19">
        <f t="shared" si="310"/>
        <v>405.72428571428571</v>
      </c>
      <c r="Q504" s="419">
        <f t="shared" si="311"/>
        <v>0</v>
      </c>
      <c r="R504" s="101"/>
      <c r="S504" s="390">
        <f t="shared" si="312"/>
        <v>2840.07</v>
      </c>
      <c r="T504" s="19">
        <f t="shared" si="313"/>
        <v>2840.07</v>
      </c>
      <c r="U504" s="19">
        <f t="shared" si="314"/>
        <v>0</v>
      </c>
    </row>
    <row r="505" spans="2:21">
      <c r="B505" s="15">
        <v>97283</v>
      </c>
      <c r="E505" s="385" t="s">
        <v>291</v>
      </c>
      <c r="F505" s="15">
        <v>2012</v>
      </c>
      <c r="G505" s="364">
        <v>10</v>
      </c>
      <c r="H505" s="386">
        <v>0</v>
      </c>
      <c r="I505" s="387" t="s">
        <v>86</v>
      </c>
      <c r="J505" s="364">
        <v>10</v>
      </c>
      <c r="K505" s="388">
        <f t="shared" si="307"/>
        <v>2022</v>
      </c>
      <c r="L505" s="21">
        <f t="shared" si="291"/>
        <v>2022.8333333333333</v>
      </c>
      <c r="M505" s="365">
        <v>6890</v>
      </c>
      <c r="N505" s="366">
        <f t="shared" si="308"/>
        <v>6890</v>
      </c>
      <c r="O505" s="366">
        <f t="shared" si="309"/>
        <v>57.416666666666664</v>
      </c>
      <c r="P505" s="19">
        <f t="shared" si="310"/>
        <v>689</v>
      </c>
      <c r="Q505" s="419">
        <f t="shared" si="311"/>
        <v>0</v>
      </c>
      <c r="R505" s="101"/>
      <c r="S505" s="390">
        <f t="shared" si="312"/>
        <v>6890</v>
      </c>
      <c r="T505" s="19">
        <f t="shared" si="313"/>
        <v>6890</v>
      </c>
      <c r="U505" s="19">
        <f t="shared" si="314"/>
        <v>0</v>
      </c>
    </row>
    <row r="506" spans="2:21">
      <c r="B506" s="15">
        <v>97221</v>
      </c>
      <c r="E506" s="385" t="s">
        <v>292</v>
      </c>
      <c r="F506" s="15">
        <v>2012</v>
      </c>
      <c r="G506" s="364">
        <v>10</v>
      </c>
      <c r="H506" s="386">
        <v>0</v>
      </c>
      <c r="I506" s="387" t="s">
        <v>86</v>
      </c>
      <c r="J506" s="364">
        <v>10</v>
      </c>
      <c r="K506" s="388">
        <f t="shared" si="307"/>
        <v>2022</v>
      </c>
      <c r="L506" s="21">
        <f t="shared" si="291"/>
        <v>2022.8333333333333</v>
      </c>
      <c r="M506" s="365">
        <v>11318</v>
      </c>
      <c r="N506" s="366">
        <f t="shared" si="308"/>
        <v>11318</v>
      </c>
      <c r="O506" s="366">
        <f t="shared" si="309"/>
        <v>94.316666666666663</v>
      </c>
      <c r="P506" s="19">
        <f t="shared" si="310"/>
        <v>1131.8</v>
      </c>
      <c r="Q506" s="419">
        <f t="shared" si="311"/>
        <v>0</v>
      </c>
      <c r="R506" s="101"/>
      <c r="S506" s="390">
        <f t="shared" si="312"/>
        <v>11318</v>
      </c>
      <c r="T506" s="19">
        <f t="shared" si="313"/>
        <v>11318</v>
      </c>
      <c r="U506" s="19">
        <f t="shared" si="314"/>
        <v>0</v>
      </c>
    </row>
    <row r="507" spans="2:21">
      <c r="B507" s="15">
        <v>97148</v>
      </c>
      <c r="E507" s="385" t="s">
        <v>293</v>
      </c>
      <c r="F507" s="15">
        <v>2012</v>
      </c>
      <c r="G507" s="364">
        <v>10</v>
      </c>
      <c r="H507" s="386">
        <v>0</v>
      </c>
      <c r="I507" s="387" t="s">
        <v>86</v>
      </c>
      <c r="J507" s="364">
        <v>10</v>
      </c>
      <c r="K507" s="388">
        <f t="shared" si="307"/>
        <v>2022</v>
      </c>
      <c r="L507" s="21">
        <f t="shared" si="291"/>
        <v>2022.8333333333333</v>
      </c>
      <c r="M507" s="365">
        <v>2409</v>
      </c>
      <c r="N507" s="366">
        <f t="shared" si="308"/>
        <v>2409</v>
      </c>
      <c r="O507" s="366">
        <f t="shared" si="309"/>
        <v>20.074999999999999</v>
      </c>
      <c r="P507" s="19">
        <f t="shared" si="310"/>
        <v>240.89999999999998</v>
      </c>
      <c r="Q507" s="419">
        <f t="shared" si="311"/>
        <v>0</v>
      </c>
      <c r="R507" s="101"/>
      <c r="S507" s="390">
        <f t="shared" si="312"/>
        <v>2409</v>
      </c>
      <c r="T507" s="19">
        <f t="shared" si="313"/>
        <v>2409</v>
      </c>
      <c r="U507" s="19">
        <f t="shared" si="314"/>
        <v>0</v>
      </c>
    </row>
    <row r="508" spans="2:21">
      <c r="B508" s="15">
        <v>109576</v>
      </c>
      <c r="E508" s="385" t="s">
        <v>304</v>
      </c>
      <c r="F508" s="15">
        <v>2014</v>
      </c>
      <c r="G508" s="364">
        <v>1</v>
      </c>
      <c r="H508" s="386">
        <v>0</v>
      </c>
      <c r="I508" s="387" t="s">
        <v>86</v>
      </c>
      <c r="J508" s="364">
        <v>15</v>
      </c>
      <c r="K508" s="388">
        <f t="shared" si="307"/>
        <v>2029</v>
      </c>
      <c r="L508" s="21">
        <f t="shared" si="291"/>
        <v>2029.0833333333333</v>
      </c>
      <c r="M508" s="365">
        <f>17617.71+1022.03+14778.49+55756.7+317+10412.07+2675.38+1884</f>
        <v>104463.38</v>
      </c>
      <c r="N508" s="366">
        <f t="shared" si="308"/>
        <v>104463.38</v>
      </c>
      <c r="O508" s="366">
        <f t="shared" si="309"/>
        <v>580.35211111111118</v>
      </c>
      <c r="P508" s="19">
        <f t="shared" si="310"/>
        <v>6964.2253333333338</v>
      </c>
      <c r="Q508" s="419">
        <f t="shared" si="311"/>
        <v>6964.2253333333338</v>
      </c>
      <c r="R508" s="101"/>
      <c r="S508" s="390">
        <f t="shared" si="312"/>
        <v>63838.732222222752</v>
      </c>
      <c r="T508" s="19">
        <f t="shared" si="313"/>
        <v>70802.957555556088</v>
      </c>
      <c r="U508" s="19">
        <f t="shared" si="314"/>
        <v>33660.422444443917</v>
      </c>
    </row>
    <row r="509" spans="2:21">
      <c r="B509" s="15">
        <v>110007</v>
      </c>
      <c r="E509" s="385" t="s">
        <v>282</v>
      </c>
      <c r="F509" s="15">
        <v>2013</v>
      </c>
      <c r="G509" s="364">
        <v>12</v>
      </c>
      <c r="H509" s="386">
        <v>0</v>
      </c>
      <c r="I509" s="387" t="s">
        <v>86</v>
      </c>
      <c r="J509" s="364">
        <v>20</v>
      </c>
      <c r="K509" s="388">
        <f t="shared" si="307"/>
        <v>2033</v>
      </c>
      <c r="L509" s="21">
        <f t="shared" si="291"/>
        <v>2034</v>
      </c>
      <c r="M509" s="365">
        <v>4622.1000000000004</v>
      </c>
      <c r="N509" s="366">
        <f t="shared" si="308"/>
        <v>4622.1000000000004</v>
      </c>
      <c r="O509" s="366">
        <f t="shared" si="309"/>
        <v>19.258750000000003</v>
      </c>
      <c r="P509" s="19">
        <f t="shared" si="310"/>
        <v>231.10500000000002</v>
      </c>
      <c r="Q509" s="419">
        <f t="shared" si="311"/>
        <v>231.10500000000002</v>
      </c>
      <c r="R509" s="101"/>
      <c r="S509" s="390">
        <f t="shared" si="312"/>
        <v>2137.7212500000001</v>
      </c>
      <c r="T509" s="19">
        <f t="shared" si="313"/>
        <v>2368.8262500000001</v>
      </c>
      <c r="U509" s="19">
        <f t="shared" si="314"/>
        <v>2253.2737500000003</v>
      </c>
    </row>
    <row r="510" spans="2:21">
      <c r="B510" s="15">
        <v>116395</v>
      </c>
      <c r="E510" s="385" t="s">
        <v>322</v>
      </c>
      <c r="F510" s="15">
        <v>2014</v>
      </c>
      <c r="G510" s="364">
        <v>10</v>
      </c>
      <c r="H510" s="386">
        <v>0</v>
      </c>
      <c r="I510" s="387" t="s">
        <v>86</v>
      </c>
      <c r="J510" s="364">
        <v>5</v>
      </c>
      <c r="K510" s="388">
        <f t="shared" si="307"/>
        <v>2019</v>
      </c>
      <c r="L510" s="21">
        <f t="shared" si="291"/>
        <v>2019.8333333333333</v>
      </c>
      <c r="M510" s="365">
        <v>3942.89</v>
      </c>
      <c r="N510" s="366">
        <f t="shared" si="308"/>
        <v>3942.89</v>
      </c>
      <c r="O510" s="366">
        <f t="shared" si="309"/>
        <v>65.714833333333331</v>
      </c>
      <c r="P510" s="19">
        <f t="shared" si="310"/>
        <v>788.57799999999997</v>
      </c>
      <c r="Q510" s="419">
        <f t="shared" si="311"/>
        <v>0</v>
      </c>
      <c r="R510" s="101"/>
      <c r="S510" s="390">
        <f t="shared" si="312"/>
        <v>3942.89</v>
      </c>
      <c r="T510" s="19">
        <f t="shared" si="313"/>
        <v>3942.89</v>
      </c>
      <c r="U510" s="19">
        <f t="shared" si="314"/>
        <v>0</v>
      </c>
    </row>
    <row r="511" spans="2:21">
      <c r="B511" s="15">
        <v>194636</v>
      </c>
      <c r="E511" s="385" t="s">
        <v>482</v>
      </c>
      <c r="F511" s="15">
        <v>2018</v>
      </c>
      <c r="G511" s="364">
        <v>10</v>
      </c>
      <c r="H511" s="386">
        <v>0</v>
      </c>
      <c r="I511" s="387" t="s">
        <v>86</v>
      </c>
      <c r="J511" s="364">
        <v>10</v>
      </c>
      <c r="K511" s="388">
        <f t="shared" si="307"/>
        <v>2028</v>
      </c>
      <c r="L511" s="21">
        <f t="shared" si="291"/>
        <v>2028.8333333333333</v>
      </c>
      <c r="M511" s="365">
        <v>13031.65</v>
      </c>
      <c r="N511" s="366">
        <f t="shared" ref="N511:N515" si="315">M511-M511*H511</f>
        <v>13031.65</v>
      </c>
      <c r="O511" s="366">
        <f t="shared" ref="O511:O515" si="316">N511/J511/12</f>
        <v>108.59708333333333</v>
      </c>
      <c r="P511" s="19">
        <f t="shared" ref="P511:P515" si="317">+O511*12</f>
        <v>1303.165</v>
      </c>
      <c r="Q511" s="419">
        <f t="shared" si="311"/>
        <v>1303.165</v>
      </c>
      <c r="R511" s="101"/>
      <c r="S511" s="390">
        <f t="shared" si="312"/>
        <v>5755.6454166667654</v>
      </c>
      <c r="T511" s="19">
        <f t="shared" si="313"/>
        <v>7058.8104166667654</v>
      </c>
      <c r="U511" s="19">
        <f t="shared" si="314"/>
        <v>5972.8395833332343</v>
      </c>
    </row>
    <row r="512" spans="2:21">
      <c r="B512" s="15">
        <v>195654</v>
      </c>
      <c r="E512" s="385" t="s">
        <v>483</v>
      </c>
      <c r="F512" s="15">
        <v>2018</v>
      </c>
      <c r="G512" s="364">
        <v>10</v>
      </c>
      <c r="H512" s="386">
        <v>0</v>
      </c>
      <c r="I512" s="387" t="s">
        <v>86</v>
      </c>
      <c r="J512" s="364">
        <v>10</v>
      </c>
      <c r="K512" s="388">
        <f t="shared" si="307"/>
        <v>2028</v>
      </c>
      <c r="L512" s="21">
        <f t="shared" si="291"/>
        <v>2028.8333333333333</v>
      </c>
      <c r="M512" s="365">
        <v>36063.39</v>
      </c>
      <c r="N512" s="366">
        <f t="shared" si="315"/>
        <v>36063.39</v>
      </c>
      <c r="O512" s="366">
        <f t="shared" si="316"/>
        <v>300.52825000000001</v>
      </c>
      <c r="P512" s="19">
        <f t="shared" si="317"/>
        <v>3606.3389999999999</v>
      </c>
      <c r="Q512" s="419">
        <f t="shared" si="311"/>
        <v>3606.3389999999999</v>
      </c>
      <c r="R512" s="101"/>
      <c r="S512" s="390">
        <f t="shared" si="312"/>
        <v>15927.997250000273</v>
      </c>
      <c r="T512" s="19">
        <f t="shared" si="313"/>
        <v>19534.336250000273</v>
      </c>
      <c r="U512" s="19">
        <f t="shared" si="314"/>
        <v>16529.053749999726</v>
      </c>
    </row>
    <row r="513" spans="2:22">
      <c r="B513" s="15">
        <v>194635</v>
      </c>
      <c r="E513" s="385" t="s">
        <v>483</v>
      </c>
      <c r="F513" s="15">
        <v>2018</v>
      </c>
      <c r="G513" s="364">
        <v>10</v>
      </c>
      <c r="H513" s="386">
        <v>0</v>
      </c>
      <c r="I513" s="387" t="s">
        <v>86</v>
      </c>
      <c r="J513" s="364">
        <v>10</v>
      </c>
      <c r="K513" s="388">
        <f t="shared" si="307"/>
        <v>2028</v>
      </c>
      <c r="L513" s="21">
        <f t="shared" si="291"/>
        <v>2028.8333333333333</v>
      </c>
      <c r="M513" s="365">
        <v>33614.33</v>
      </c>
      <c r="N513" s="366">
        <f t="shared" si="315"/>
        <v>33614.33</v>
      </c>
      <c r="O513" s="366">
        <f t="shared" si="316"/>
        <v>280.11941666666667</v>
      </c>
      <c r="P513" s="19">
        <f t="shared" si="317"/>
        <v>3361.433</v>
      </c>
      <c r="Q513" s="419">
        <f t="shared" si="311"/>
        <v>3361.433</v>
      </c>
      <c r="R513" s="101"/>
      <c r="S513" s="390">
        <f t="shared" si="312"/>
        <v>14846.329083333589</v>
      </c>
      <c r="T513" s="19">
        <f t="shared" si="313"/>
        <v>18207.76208333359</v>
      </c>
      <c r="U513" s="19">
        <f t="shared" si="314"/>
        <v>15406.567916666412</v>
      </c>
    </row>
    <row r="514" spans="2:22">
      <c r="B514" s="15">
        <v>207741</v>
      </c>
      <c r="E514" s="385" t="s">
        <v>484</v>
      </c>
      <c r="F514" s="15">
        <v>2018</v>
      </c>
      <c r="G514" s="364">
        <v>10</v>
      </c>
      <c r="H514" s="386">
        <v>0</v>
      </c>
      <c r="I514" s="387" t="s">
        <v>86</v>
      </c>
      <c r="J514" s="364">
        <v>10</v>
      </c>
      <c r="K514" s="388">
        <f t="shared" si="307"/>
        <v>2028</v>
      </c>
      <c r="L514" s="21">
        <f t="shared" si="291"/>
        <v>2028.8333333333333</v>
      </c>
      <c r="M514" s="365">
        <v>28752.5</v>
      </c>
      <c r="N514" s="366">
        <f t="shared" si="315"/>
        <v>28752.5</v>
      </c>
      <c r="O514" s="366">
        <f t="shared" si="316"/>
        <v>239.60416666666666</v>
      </c>
      <c r="P514" s="19">
        <f t="shared" si="317"/>
        <v>2875.25</v>
      </c>
      <c r="Q514" s="419">
        <f t="shared" si="311"/>
        <v>2875.25</v>
      </c>
      <c r="R514" s="101"/>
      <c r="S514" s="390">
        <f t="shared" si="312"/>
        <v>12699.020833333552</v>
      </c>
      <c r="T514" s="19">
        <f t="shared" si="313"/>
        <v>15574.270833333552</v>
      </c>
      <c r="U514" s="19">
        <f t="shared" si="314"/>
        <v>13178.229166666448</v>
      </c>
    </row>
    <row r="515" spans="2:22">
      <c r="B515" s="15">
        <v>242794</v>
      </c>
      <c r="C515" s="16"/>
      <c r="E515" s="385" t="s">
        <v>575</v>
      </c>
      <c r="F515" s="15">
        <v>2020</v>
      </c>
      <c r="G515" s="364">
        <v>12</v>
      </c>
      <c r="H515" s="386">
        <v>0</v>
      </c>
      <c r="I515" s="387" t="s">
        <v>86</v>
      </c>
      <c r="J515" s="364">
        <v>10</v>
      </c>
      <c r="K515" s="388">
        <f t="shared" si="307"/>
        <v>2030</v>
      </c>
      <c r="L515" s="21">
        <f t="shared" si="291"/>
        <v>2031</v>
      </c>
      <c r="M515" s="365">
        <v>74833.509999999995</v>
      </c>
      <c r="N515" s="366">
        <f t="shared" si="315"/>
        <v>74833.509999999995</v>
      </c>
      <c r="O515" s="366">
        <f t="shared" si="316"/>
        <v>623.6125833333333</v>
      </c>
      <c r="P515" s="19">
        <f t="shared" si="317"/>
        <v>7483.3509999999997</v>
      </c>
      <c r="Q515" s="419">
        <f t="shared" si="311"/>
        <v>7483.3509999999997</v>
      </c>
      <c r="R515" s="101"/>
      <c r="S515" s="390">
        <f t="shared" si="312"/>
        <v>16837.539749999996</v>
      </c>
      <c r="T515" s="19">
        <f t="shared" si="313"/>
        <v>24320.890749999995</v>
      </c>
      <c r="U515" s="19">
        <f t="shared" si="314"/>
        <v>50512.619250000003</v>
      </c>
    </row>
    <row r="516" spans="2:22">
      <c r="C516" s="16"/>
      <c r="E516" s="385" t="s">
        <v>575</v>
      </c>
      <c r="F516" s="15">
        <v>2021</v>
      </c>
      <c r="G516" s="364">
        <v>3</v>
      </c>
      <c r="H516" s="386">
        <v>0</v>
      </c>
      <c r="I516" s="387" t="s">
        <v>86</v>
      </c>
      <c r="J516" s="364">
        <v>10</v>
      </c>
      <c r="K516" s="388">
        <f t="shared" ref="K516" si="318">F516+J516</f>
        <v>2031</v>
      </c>
      <c r="L516" s="21">
        <f t="shared" ref="L516" si="319">+K516+(G516/12)</f>
        <v>2031.25</v>
      </c>
      <c r="M516" s="365">
        <v>30000</v>
      </c>
      <c r="N516" s="366">
        <f t="shared" ref="N516" si="320">M516-M516*H516</f>
        <v>30000</v>
      </c>
      <c r="O516" s="366">
        <f t="shared" ref="O516" si="321">N516/J516/12</f>
        <v>250</v>
      </c>
      <c r="P516" s="19">
        <f t="shared" ref="P516" si="322">+O516*12</f>
        <v>3000</v>
      </c>
      <c r="Q516" s="419">
        <f t="shared" si="311"/>
        <v>3000</v>
      </c>
      <c r="R516" s="101"/>
      <c r="S516" s="390">
        <f t="shared" si="312"/>
        <v>6000</v>
      </c>
      <c r="T516" s="19">
        <f t="shared" si="313"/>
        <v>9000</v>
      </c>
      <c r="U516" s="19">
        <f t="shared" si="314"/>
        <v>21000</v>
      </c>
    </row>
    <row r="517" spans="2:22">
      <c r="E517" s="385"/>
      <c r="H517" s="386"/>
      <c r="I517" s="387"/>
      <c r="K517" s="388"/>
      <c r="L517" s="21"/>
      <c r="N517" s="366"/>
      <c r="O517" s="366"/>
      <c r="P517" s="19"/>
      <c r="Q517" s="19"/>
      <c r="R517" s="366"/>
      <c r="S517" s="366"/>
      <c r="T517" s="366"/>
      <c r="U517" s="366"/>
    </row>
    <row r="518" spans="2:22">
      <c r="D518" s="16"/>
      <c r="E518" s="406" t="s">
        <v>285</v>
      </c>
      <c r="F518" s="406"/>
      <c r="G518" s="405"/>
      <c r="H518" s="405"/>
      <c r="I518" s="414"/>
      <c r="J518" s="405"/>
      <c r="K518" s="406"/>
      <c r="L518" s="54"/>
      <c r="M518" s="421">
        <f>SUM(M495:M517)</f>
        <v>631741.70000000007</v>
      </c>
      <c r="N518" s="421">
        <f t="shared" ref="N518:U518" si="323">SUM(N495:N517)</f>
        <v>631741.70000000007</v>
      </c>
      <c r="O518" s="421">
        <f t="shared" si="323"/>
        <v>4337.2023154761901</v>
      </c>
      <c r="P518" s="421">
        <f t="shared" si="323"/>
        <v>52046.427785714288</v>
      </c>
      <c r="Q518" s="421">
        <f t="shared" si="323"/>
        <v>37495.289833333336</v>
      </c>
      <c r="R518" s="421">
        <f t="shared" si="323"/>
        <v>0</v>
      </c>
      <c r="S518" s="421">
        <f t="shared" si="323"/>
        <v>375040.45380555687</v>
      </c>
      <c r="T518" s="421">
        <f t="shared" si="323"/>
        <v>412535.74363889027</v>
      </c>
      <c r="U518" s="421">
        <f t="shared" si="323"/>
        <v>219205.95636110974</v>
      </c>
    </row>
    <row r="519" spans="2:22">
      <c r="E519" s="413"/>
      <c r="F519" s="413"/>
      <c r="G519" s="414"/>
      <c r="H519" s="414"/>
      <c r="I519" s="414"/>
      <c r="J519" s="414"/>
      <c r="K519" s="413"/>
      <c r="L519" s="54"/>
      <c r="M519" s="434"/>
      <c r="N519" s="435"/>
      <c r="O519" s="435"/>
    </row>
    <row r="520" spans="2:22" s="16" customFormat="1">
      <c r="E520" s="436" t="s">
        <v>657</v>
      </c>
      <c r="F520" s="436"/>
      <c r="G520" s="437"/>
      <c r="H520" s="437"/>
      <c r="I520" s="437"/>
      <c r="J520" s="437"/>
      <c r="K520" s="436"/>
      <c r="L520" s="55"/>
      <c r="M520" s="421">
        <f t="shared" ref="M520:U520" si="324">M37+M68+M86+M99+M123+M213+M274+M320+M335+M397+M437+M479+M492+M518+M405+M418+M424+M429+M133+M363+M378+M153+M48</f>
        <v>11086867.289572649</v>
      </c>
      <c r="N520" s="421">
        <f t="shared" si="324"/>
        <v>11086867.289572649</v>
      </c>
      <c r="O520" s="421">
        <f t="shared" si="324"/>
        <v>125263.79143355484</v>
      </c>
      <c r="P520" s="421">
        <f t="shared" si="324"/>
        <v>1503165.4972026583</v>
      </c>
      <c r="Q520" s="421">
        <f t="shared" si="324"/>
        <v>548950.3721328734</v>
      </c>
      <c r="R520" s="421">
        <f t="shared" si="324"/>
        <v>0</v>
      </c>
      <c r="S520" s="421">
        <f t="shared" si="324"/>
        <v>8164546.014798779</v>
      </c>
      <c r="T520" s="421">
        <f t="shared" si="324"/>
        <v>8863227.3193364143</v>
      </c>
      <c r="U520" s="421">
        <f t="shared" si="324"/>
        <v>2223639.9702362344</v>
      </c>
      <c r="V520" s="407"/>
    </row>
    <row r="521" spans="2:22">
      <c r="E521" s="418"/>
      <c r="H521" s="386"/>
      <c r="L521" s="21"/>
      <c r="N521" s="438"/>
      <c r="O521" s="438"/>
      <c r="P521" s="24"/>
      <c r="Q521" s="24"/>
      <c r="S521" s="364"/>
      <c r="T521" s="364"/>
      <c r="U521" s="364"/>
    </row>
    <row r="522" spans="2:22">
      <c r="E522" s="16"/>
      <c r="L522" s="21"/>
      <c r="N522" s="438"/>
      <c r="O522" s="438"/>
      <c r="P522" s="24"/>
      <c r="Q522" s="24"/>
      <c r="S522" s="364"/>
      <c r="T522" s="364"/>
      <c r="U522" s="364"/>
    </row>
    <row r="523" spans="2:22">
      <c r="C523" s="388"/>
      <c r="D523" s="14"/>
      <c r="L523" s="21"/>
      <c r="N523" s="438"/>
      <c r="O523" s="438"/>
      <c r="P523" s="24"/>
      <c r="Q523" s="24"/>
      <c r="S523" s="439"/>
      <c r="T523" s="439"/>
      <c r="U523" s="439"/>
    </row>
    <row r="524" spans="2:22">
      <c r="C524" s="388"/>
      <c r="D524" s="14"/>
      <c r="L524" s="21"/>
    </row>
    <row r="525" spans="2:22">
      <c r="C525" s="388"/>
      <c r="D525" s="13"/>
      <c r="L525" s="21"/>
      <c r="N525" s="438"/>
      <c r="O525" s="438"/>
      <c r="P525" s="24"/>
      <c r="Q525" s="24"/>
      <c r="S525" s="438"/>
      <c r="T525" s="438"/>
      <c r="U525" s="438"/>
    </row>
    <row r="526" spans="2:22">
      <c r="L526" s="21"/>
      <c r="N526" s="438"/>
      <c r="O526" s="438"/>
      <c r="P526" s="24"/>
      <c r="Q526" s="24"/>
      <c r="S526" s="438"/>
      <c r="T526" s="438"/>
      <c r="U526" s="438"/>
    </row>
    <row r="527" spans="2:22">
      <c r="L527" s="21"/>
      <c r="N527" s="438"/>
      <c r="O527" s="438"/>
      <c r="P527" s="24"/>
      <c r="Q527" s="24"/>
      <c r="S527" s="438"/>
      <c r="T527" s="438"/>
      <c r="U527" s="438"/>
    </row>
    <row r="528" spans="2:22">
      <c r="L528" s="21"/>
      <c r="N528" s="438"/>
      <c r="O528" s="438"/>
      <c r="P528" s="24"/>
      <c r="Q528" s="24"/>
      <c r="S528" s="438"/>
      <c r="T528" s="438"/>
      <c r="U528" s="438"/>
    </row>
    <row r="529" spans="3:42">
      <c r="C529" s="364"/>
      <c r="D529" s="388"/>
      <c r="E529" s="385"/>
      <c r="H529" s="386"/>
      <c r="I529" s="387"/>
      <c r="K529" s="388"/>
      <c r="L529" s="21"/>
      <c r="M529" s="429"/>
      <c r="N529" s="366"/>
      <c r="O529" s="366"/>
      <c r="P529" s="19"/>
      <c r="Q529" s="19"/>
      <c r="R529" s="366"/>
      <c r="S529" s="366"/>
      <c r="T529" s="366"/>
      <c r="U529" s="366"/>
    </row>
    <row r="530" spans="3:42">
      <c r="L530" s="21"/>
      <c r="N530" s="438"/>
      <c r="O530" s="438"/>
      <c r="P530" s="24"/>
      <c r="Q530" s="24"/>
      <c r="S530" s="438"/>
      <c r="T530" s="438"/>
      <c r="U530" s="438"/>
    </row>
    <row r="531" spans="3:42">
      <c r="C531" s="364"/>
      <c r="E531" s="440"/>
      <c r="H531" s="386"/>
      <c r="I531" s="387"/>
      <c r="K531" s="388"/>
      <c r="L531" s="21"/>
      <c r="N531" s="366"/>
      <c r="O531" s="366"/>
      <c r="P531" s="19"/>
      <c r="Q531" s="19"/>
      <c r="R531" s="366"/>
      <c r="S531" s="366"/>
      <c r="T531" s="366"/>
      <c r="U531" s="366"/>
    </row>
    <row r="532" spans="3:42">
      <c r="E532" s="441" t="s">
        <v>294</v>
      </c>
      <c r="L532" s="21"/>
      <c r="N532" s="438"/>
      <c r="O532" s="438"/>
      <c r="P532" s="24"/>
      <c r="Q532" s="24"/>
      <c r="S532" s="438"/>
      <c r="T532" s="438"/>
      <c r="U532" s="438"/>
    </row>
    <row r="533" spans="3:42" s="391" customFormat="1">
      <c r="C533" s="442"/>
      <c r="D533" s="391">
        <v>24</v>
      </c>
      <c r="E533" s="391" t="s">
        <v>16</v>
      </c>
      <c r="F533" s="391">
        <v>1989</v>
      </c>
      <c r="G533" s="392">
        <v>8</v>
      </c>
      <c r="H533" s="394">
        <v>0</v>
      </c>
      <c r="I533" s="395" t="s">
        <v>86</v>
      </c>
      <c r="J533" s="392">
        <v>10</v>
      </c>
      <c r="K533" s="396">
        <f>F533+J533</f>
        <v>1999</v>
      </c>
      <c r="L533" s="21">
        <f t="shared" ref="L533:L557" si="325">+K533+(G533/12)</f>
        <v>1999.6666666666667</v>
      </c>
      <c r="M533" s="443">
        <v>11891</v>
      </c>
      <c r="N533" s="442">
        <f>M533-M533*H533</f>
        <v>11891</v>
      </c>
      <c r="O533" s="442">
        <f>N533/J533/12</f>
        <v>99.091666666666654</v>
      </c>
      <c r="P533" s="19">
        <f t="shared" ref="P533:P537" si="326">+O533*12</f>
        <v>1189.0999999999999</v>
      </c>
      <c r="Q533" s="19">
        <f t="shared" ref="Q533:Q537" si="327">+IF(L533&lt;=$N$5,0,IF(K533&gt;$N$4,P533,(O533*G533)))</f>
        <v>0</v>
      </c>
      <c r="R533" s="442"/>
      <c r="S533" s="19">
        <f t="shared" ref="S533:S537" si="328">+IF(Q533=0,M533,IF($N$3-F533&lt;1,0,(($N$3-F533)*P533)))</f>
        <v>11891</v>
      </c>
      <c r="T533" s="19">
        <f t="shared" ref="T533:T537" si="329">+IF(Q533=0,S533,S533+Q533)</f>
        <v>11891</v>
      </c>
      <c r="U533" s="19">
        <f t="shared" ref="U533:U557" si="330">M533-T533</f>
        <v>0</v>
      </c>
      <c r="V533" s="425"/>
    </row>
    <row r="534" spans="3:42" s="391" customFormat="1">
      <c r="C534" s="442"/>
      <c r="D534" s="391">
        <v>26</v>
      </c>
      <c r="E534" s="391" t="s">
        <v>16</v>
      </c>
      <c r="F534" s="391">
        <v>1990</v>
      </c>
      <c r="G534" s="392">
        <v>4</v>
      </c>
      <c r="H534" s="394">
        <v>0</v>
      </c>
      <c r="I534" s="395" t="s">
        <v>86</v>
      </c>
      <c r="J534" s="392">
        <v>10</v>
      </c>
      <c r="K534" s="396">
        <f>F534+J534</f>
        <v>2000</v>
      </c>
      <c r="L534" s="21">
        <f t="shared" si="325"/>
        <v>2000.3333333333333</v>
      </c>
      <c r="M534" s="443">
        <v>2000</v>
      </c>
      <c r="N534" s="442">
        <f>M534-M534*H534</f>
        <v>2000</v>
      </c>
      <c r="O534" s="442">
        <f>N534/J534/12</f>
        <v>16.666666666666668</v>
      </c>
      <c r="P534" s="19">
        <f t="shared" si="326"/>
        <v>200</v>
      </c>
      <c r="Q534" s="19">
        <f t="shared" si="327"/>
        <v>0</v>
      </c>
      <c r="R534" s="442"/>
      <c r="S534" s="19">
        <f t="shared" si="328"/>
        <v>2000</v>
      </c>
      <c r="T534" s="19">
        <f t="shared" si="329"/>
        <v>2000</v>
      </c>
      <c r="U534" s="19">
        <f t="shared" si="330"/>
        <v>0</v>
      </c>
      <c r="V534" s="425"/>
    </row>
    <row r="535" spans="3:42" s="391" customFormat="1">
      <c r="C535" s="442"/>
      <c r="D535" s="391">
        <v>27</v>
      </c>
      <c r="E535" s="391" t="s">
        <v>16</v>
      </c>
      <c r="F535" s="391">
        <v>1990</v>
      </c>
      <c r="G535" s="392">
        <v>6</v>
      </c>
      <c r="H535" s="394">
        <v>0</v>
      </c>
      <c r="I535" s="395" t="s">
        <v>86</v>
      </c>
      <c r="J535" s="392">
        <v>10</v>
      </c>
      <c r="K535" s="396">
        <f>F535+J535</f>
        <v>2000</v>
      </c>
      <c r="L535" s="21">
        <f t="shared" si="325"/>
        <v>2000.5</v>
      </c>
      <c r="M535" s="443">
        <v>2870</v>
      </c>
      <c r="N535" s="442">
        <f>M535-M535*H535</f>
        <v>2870</v>
      </c>
      <c r="O535" s="442">
        <f>N535/J535/12</f>
        <v>23.916666666666668</v>
      </c>
      <c r="P535" s="19">
        <f t="shared" si="326"/>
        <v>287</v>
      </c>
      <c r="Q535" s="19">
        <f t="shared" si="327"/>
        <v>0</v>
      </c>
      <c r="R535" s="442"/>
      <c r="S535" s="19">
        <f t="shared" si="328"/>
        <v>2870</v>
      </c>
      <c r="T535" s="19">
        <f t="shared" si="329"/>
        <v>2870</v>
      </c>
      <c r="U535" s="19">
        <f t="shared" si="330"/>
        <v>0</v>
      </c>
      <c r="V535" s="425"/>
    </row>
    <row r="536" spans="3:42" s="391" customFormat="1">
      <c r="D536" s="391">
        <v>28</v>
      </c>
      <c r="E536" s="391" t="s">
        <v>16</v>
      </c>
      <c r="F536" s="391">
        <v>1990</v>
      </c>
      <c r="G536" s="392">
        <v>10</v>
      </c>
      <c r="H536" s="394">
        <v>0</v>
      </c>
      <c r="I536" s="395" t="s">
        <v>86</v>
      </c>
      <c r="J536" s="392">
        <v>10</v>
      </c>
      <c r="K536" s="396">
        <f>F536+J536</f>
        <v>2000</v>
      </c>
      <c r="L536" s="21">
        <f t="shared" si="325"/>
        <v>2000.8333333333333</v>
      </c>
      <c r="M536" s="443">
        <v>8550</v>
      </c>
      <c r="N536" s="442">
        <f>M536-M536*H536</f>
        <v>8550</v>
      </c>
      <c r="O536" s="442">
        <f>N536/J536/12</f>
        <v>71.25</v>
      </c>
      <c r="P536" s="19">
        <f t="shared" si="326"/>
        <v>855</v>
      </c>
      <c r="Q536" s="19">
        <f t="shared" si="327"/>
        <v>0</v>
      </c>
      <c r="R536" s="442"/>
      <c r="S536" s="19">
        <f t="shared" si="328"/>
        <v>8550</v>
      </c>
      <c r="T536" s="19">
        <f t="shared" si="329"/>
        <v>8550</v>
      </c>
      <c r="U536" s="19">
        <f t="shared" si="330"/>
        <v>0</v>
      </c>
      <c r="V536" s="425"/>
    </row>
    <row r="537" spans="3:42" s="391" customFormat="1">
      <c r="D537" s="391">
        <v>54</v>
      </c>
      <c r="E537" s="393" t="s">
        <v>150</v>
      </c>
      <c r="F537" s="391">
        <v>2002</v>
      </c>
      <c r="G537" s="392">
        <v>12</v>
      </c>
      <c r="H537" s="394">
        <v>0</v>
      </c>
      <c r="I537" s="395" t="s">
        <v>86</v>
      </c>
      <c r="J537" s="392">
        <v>10</v>
      </c>
      <c r="K537" s="396">
        <f>F537+J537</f>
        <v>2012</v>
      </c>
      <c r="L537" s="21">
        <f t="shared" si="325"/>
        <v>2013</v>
      </c>
      <c r="M537" s="443">
        <v>3249</v>
      </c>
      <c r="N537" s="442">
        <f>M537-M537*H537</f>
        <v>3249</v>
      </c>
      <c r="O537" s="442">
        <f>N537/J537/12</f>
        <v>27.074999999999999</v>
      </c>
      <c r="P537" s="19">
        <f t="shared" si="326"/>
        <v>324.89999999999998</v>
      </c>
      <c r="Q537" s="19">
        <f t="shared" si="327"/>
        <v>0</v>
      </c>
      <c r="R537" s="442"/>
      <c r="S537" s="19">
        <f t="shared" si="328"/>
        <v>3249</v>
      </c>
      <c r="T537" s="19">
        <f t="shared" si="329"/>
        <v>3249</v>
      </c>
      <c r="U537" s="19">
        <f t="shared" si="330"/>
        <v>0</v>
      </c>
      <c r="V537" s="425"/>
    </row>
    <row r="538" spans="3:42">
      <c r="L538" s="21"/>
      <c r="N538" s="438"/>
      <c r="O538" s="438"/>
      <c r="P538" s="24"/>
      <c r="Q538" s="24"/>
      <c r="S538" s="438"/>
      <c r="T538" s="438"/>
      <c r="U538" s="438"/>
    </row>
    <row r="539" spans="3:42">
      <c r="L539" s="21"/>
      <c r="N539" s="438"/>
      <c r="O539" s="438"/>
      <c r="P539" s="24"/>
      <c r="Q539" s="24"/>
      <c r="S539" s="438"/>
      <c r="T539" s="438"/>
      <c r="U539" s="438"/>
    </row>
    <row r="540" spans="3:42" s="431" customFormat="1">
      <c r="C540" s="444"/>
      <c r="E540" s="445"/>
      <c r="G540" s="444"/>
      <c r="H540" s="446"/>
      <c r="I540" s="447"/>
      <c r="J540" s="444"/>
      <c r="K540" s="448"/>
      <c r="L540" s="21"/>
      <c r="M540" s="449"/>
      <c r="N540" s="450"/>
      <c r="O540" s="450"/>
      <c r="P540" s="48"/>
      <c r="Q540" s="48"/>
      <c r="R540" s="450"/>
      <c r="S540" s="450"/>
      <c r="T540" s="450"/>
      <c r="U540" s="450"/>
      <c r="V540" s="451"/>
    </row>
    <row r="541" spans="3:42">
      <c r="E541" s="441" t="s">
        <v>302</v>
      </c>
      <c r="L541" s="21"/>
      <c r="N541" s="438"/>
      <c r="O541" s="438"/>
      <c r="P541" s="24"/>
      <c r="Q541" s="24"/>
      <c r="S541" s="438"/>
      <c r="T541" s="438"/>
      <c r="U541" s="438"/>
    </row>
    <row r="542" spans="3:42" s="391" customFormat="1">
      <c r="E542" s="391" t="s">
        <v>229</v>
      </c>
      <c r="F542" s="391">
        <v>1987</v>
      </c>
      <c r="G542" s="392">
        <v>6</v>
      </c>
      <c r="H542" s="394">
        <v>0</v>
      </c>
      <c r="I542" s="395" t="s">
        <v>86</v>
      </c>
      <c r="J542" s="392">
        <v>5</v>
      </c>
      <c r="K542" s="396">
        <f>F542+J542</f>
        <v>1992</v>
      </c>
      <c r="L542" s="21">
        <f t="shared" si="325"/>
        <v>1992.5</v>
      </c>
      <c r="M542" s="443">
        <v>970</v>
      </c>
      <c r="N542" s="442">
        <f>M542-M542*H542</f>
        <v>970</v>
      </c>
      <c r="O542" s="442">
        <f>N542/J542/12</f>
        <v>16.166666666666668</v>
      </c>
      <c r="P542" s="19">
        <f t="shared" ref="P542:P543" si="331">+O542*12</f>
        <v>194</v>
      </c>
      <c r="Q542" s="19">
        <f t="shared" ref="Q542:Q543" si="332">+IF(L542&lt;=$N$5,0,IF(K542&gt;$N$4,P542,(O542*G542)))</f>
        <v>0</v>
      </c>
      <c r="R542" s="442"/>
      <c r="S542" s="19">
        <f t="shared" ref="S542:S543" si="333">+IF(Q542=0,M542,IF($N$3-F542&lt;1,0,(($N$3-F542)*P542)))</f>
        <v>970</v>
      </c>
      <c r="T542" s="19">
        <f t="shared" ref="T542:T543" si="334">+IF(Q542=0,S542,S542+Q542)</f>
        <v>970</v>
      </c>
      <c r="U542" s="19">
        <f t="shared" si="330"/>
        <v>0</v>
      </c>
      <c r="V542" s="425"/>
    </row>
    <row r="543" spans="3:42" s="391" customFormat="1">
      <c r="C543" s="392" t="s">
        <v>84</v>
      </c>
      <c r="D543" s="391">
        <v>16</v>
      </c>
      <c r="E543" s="393" t="s">
        <v>85</v>
      </c>
      <c r="F543" s="391">
        <v>1994</v>
      </c>
      <c r="G543" s="392">
        <v>8</v>
      </c>
      <c r="H543" s="394">
        <v>0.2</v>
      </c>
      <c r="I543" s="395" t="s">
        <v>86</v>
      </c>
      <c r="J543" s="392">
        <v>5</v>
      </c>
      <c r="K543" s="396">
        <f>F543+J543</f>
        <v>1999</v>
      </c>
      <c r="L543" s="21">
        <f t="shared" si="325"/>
        <v>1999.6666666666667</v>
      </c>
      <c r="M543" s="443">
        <f>101658</f>
        <v>101658</v>
      </c>
      <c r="N543" s="442">
        <f>M543-M543*H543</f>
        <v>81326.399999999994</v>
      </c>
      <c r="O543" s="442">
        <f>N543/J543/12</f>
        <v>1355.4399999999998</v>
      </c>
      <c r="P543" s="19">
        <f t="shared" si="331"/>
        <v>16265.279999999999</v>
      </c>
      <c r="Q543" s="19">
        <f t="shared" si="332"/>
        <v>0</v>
      </c>
      <c r="R543" s="442"/>
      <c r="S543" s="19">
        <f t="shared" si="333"/>
        <v>101658</v>
      </c>
      <c r="T543" s="19">
        <f t="shared" si="334"/>
        <v>101658</v>
      </c>
      <c r="U543" s="19">
        <f t="shared" si="330"/>
        <v>0</v>
      </c>
      <c r="V543" s="425"/>
      <c r="AP543" s="391" t="s">
        <v>87</v>
      </c>
    </row>
    <row r="544" spans="3:42">
      <c r="L544" s="21"/>
      <c r="N544" s="438"/>
      <c r="O544" s="438"/>
      <c r="P544" s="24"/>
      <c r="Q544" s="24"/>
      <c r="S544" s="438"/>
      <c r="T544" s="438"/>
      <c r="U544" s="438"/>
    </row>
    <row r="545" spans="3:21">
      <c r="E545" s="16"/>
      <c r="L545" s="21"/>
      <c r="M545" s="429"/>
      <c r="N545" s="430"/>
      <c r="O545" s="430"/>
      <c r="P545" s="47"/>
      <c r="Q545" s="47"/>
      <c r="R545" s="430"/>
      <c r="S545" s="430"/>
      <c r="T545" s="430"/>
      <c r="U545" s="430"/>
    </row>
    <row r="546" spans="3:21">
      <c r="E546" s="441" t="s">
        <v>321</v>
      </c>
      <c r="L546" s="21"/>
      <c r="M546" s="429"/>
      <c r="N546" s="430"/>
      <c r="O546" s="430"/>
      <c r="P546" s="47"/>
      <c r="Q546" s="47"/>
      <c r="R546" s="430"/>
      <c r="S546" s="430"/>
      <c r="T546" s="430"/>
      <c r="U546" s="430"/>
    </row>
    <row r="547" spans="3:21">
      <c r="D547" s="15">
        <v>2</v>
      </c>
      <c r="E547" s="428" t="s">
        <v>192</v>
      </c>
      <c r="F547" s="15">
        <v>2006</v>
      </c>
      <c r="G547" s="364">
        <v>6</v>
      </c>
      <c r="H547" s="386">
        <v>0</v>
      </c>
      <c r="I547" s="387" t="s">
        <v>86</v>
      </c>
      <c r="J547" s="364">
        <v>10</v>
      </c>
      <c r="K547" s="388">
        <f>F547+J547</f>
        <v>2016</v>
      </c>
      <c r="L547" s="21">
        <f t="shared" si="325"/>
        <v>2016.5</v>
      </c>
      <c r="M547" s="365">
        <v>6600</v>
      </c>
      <c r="N547" s="366">
        <f>M547-M547*H547</f>
        <v>6600</v>
      </c>
      <c r="O547" s="366">
        <f>N547/J547/12</f>
        <v>55</v>
      </c>
      <c r="P547" s="19">
        <f t="shared" ref="P547:P548" si="335">+O547*12</f>
        <v>660</v>
      </c>
      <c r="Q547" s="19">
        <f t="shared" ref="Q547:Q548" si="336">+IF(L547&lt;=$N$5,0,IF(K547&gt;$N$4,P547,(O547*G547)))</f>
        <v>0</v>
      </c>
      <c r="R547" s="366"/>
      <c r="S547" s="19">
        <f t="shared" ref="S547:S548" si="337">+IF(Q547=0,M547,IF($N$3-F547&lt;1,0,(($N$3-F547)*P547)))</f>
        <v>6600</v>
      </c>
      <c r="T547" s="19">
        <f t="shared" ref="T547:T548" si="338">+IF(Q547=0,S547,S547+Q547)</f>
        <v>6600</v>
      </c>
      <c r="U547" s="19">
        <f t="shared" si="330"/>
        <v>0</v>
      </c>
    </row>
    <row r="548" spans="3:21">
      <c r="C548" s="364" t="s">
        <v>99</v>
      </c>
      <c r="D548" s="15">
        <v>34</v>
      </c>
      <c r="E548" s="385" t="s">
        <v>103</v>
      </c>
      <c r="F548" s="15">
        <v>2009</v>
      </c>
      <c r="G548" s="364">
        <v>12</v>
      </c>
      <c r="H548" s="386">
        <v>0.2</v>
      </c>
      <c r="I548" s="387" t="s">
        <v>86</v>
      </c>
      <c r="J548" s="364">
        <v>7</v>
      </c>
      <c r="K548" s="388">
        <f>F548+J548</f>
        <v>2016</v>
      </c>
      <c r="L548" s="21">
        <f t="shared" si="325"/>
        <v>2017</v>
      </c>
      <c r="M548" s="365">
        <v>143203.54999999999</v>
      </c>
      <c r="N548" s="366">
        <f>M548-M548*H548</f>
        <v>114562.84</v>
      </c>
      <c r="O548" s="366">
        <f>N548/J548/12</f>
        <v>1363.8433333333332</v>
      </c>
      <c r="P548" s="19">
        <f t="shared" si="335"/>
        <v>16366.119999999999</v>
      </c>
      <c r="Q548" s="19">
        <f t="shared" si="336"/>
        <v>0</v>
      </c>
      <c r="R548" s="366"/>
      <c r="S548" s="19">
        <f t="shared" si="337"/>
        <v>143203.54999999999</v>
      </c>
      <c r="T548" s="19">
        <f t="shared" si="338"/>
        <v>143203.54999999999</v>
      </c>
      <c r="U548" s="19">
        <f t="shared" si="330"/>
        <v>0</v>
      </c>
    </row>
    <row r="549" spans="3:21">
      <c r="E549" s="16"/>
      <c r="L549" s="21"/>
      <c r="M549" s="429"/>
      <c r="N549" s="430"/>
      <c r="O549" s="430"/>
      <c r="P549" s="47"/>
      <c r="Q549" s="47"/>
      <c r="R549" s="430"/>
      <c r="S549" s="430"/>
      <c r="T549" s="430"/>
      <c r="U549" s="430"/>
    </row>
    <row r="550" spans="3:21">
      <c r="E550" s="16"/>
      <c r="L550" s="21"/>
      <c r="M550" s="429"/>
      <c r="N550" s="430"/>
      <c r="O550" s="430"/>
      <c r="P550" s="47"/>
      <c r="Q550" s="47"/>
      <c r="R550" s="430"/>
      <c r="S550" s="430"/>
      <c r="T550" s="430"/>
      <c r="U550" s="430"/>
    </row>
    <row r="551" spans="3:21">
      <c r="E551" s="441" t="s">
        <v>326</v>
      </c>
      <c r="L551" s="21"/>
      <c r="M551" s="429"/>
      <c r="N551" s="430"/>
      <c r="O551" s="430"/>
      <c r="P551" s="47"/>
      <c r="Q551" s="47"/>
      <c r="R551" s="430"/>
      <c r="S551" s="430"/>
      <c r="T551" s="430"/>
      <c r="U551" s="430"/>
    </row>
    <row r="552" spans="3:21">
      <c r="C552" s="364" t="s">
        <v>94</v>
      </c>
      <c r="D552" s="15">
        <v>13</v>
      </c>
      <c r="E552" s="385" t="s">
        <v>97</v>
      </c>
      <c r="F552" s="15">
        <v>2009</v>
      </c>
      <c r="G552" s="364">
        <v>3</v>
      </c>
      <c r="H552" s="386">
        <v>0.33</v>
      </c>
      <c r="I552" s="387" t="s">
        <v>86</v>
      </c>
      <c r="J552" s="364">
        <v>5</v>
      </c>
      <c r="K552" s="388">
        <f>F552+J552</f>
        <v>2014</v>
      </c>
      <c r="L552" s="21">
        <f t="shared" si="325"/>
        <v>2014.25</v>
      </c>
      <c r="M552" s="365">
        <v>25333.34</v>
      </c>
      <c r="N552" s="366">
        <f>M552-M552*H552</f>
        <v>16973.337800000001</v>
      </c>
      <c r="O552" s="366">
        <f>N552/J552/12</f>
        <v>282.88896333333338</v>
      </c>
      <c r="P552" s="19">
        <f t="shared" ref="P552:P553" si="339">+O552*12</f>
        <v>3394.6675600000008</v>
      </c>
      <c r="Q552" s="19">
        <f t="shared" ref="Q552:Q553" si="340">+IF(L552&lt;=$N$5,0,IF(K552&gt;$N$4,P552,(O552*G552)))</f>
        <v>0</v>
      </c>
      <c r="R552" s="366"/>
      <c r="S552" s="19">
        <f t="shared" ref="S552:S553" si="341">+IF(Q552=0,M552,IF($N$3-F552&lt;1,0,(($N$3-F552)*P552)))</f>
        <v>25333.34</v>
      </c>
      <c r="T552" s="19">
        <f t="shared" ref="T552:T553" si="342">+IF(Q552=0,S552,S552+Q552)</f>
        <v>25333.34</v>
      </c>
      <c r="U552" s="19">
        <f t="shared" si="330"/>
        <v>0</v>
      </c>
    </row>
    <row r="553" spans="3:21">
      <c r="C553" s="364" t="s">
        <v>88</v>
      </c>
      <c r="D553" s="15">
        <v>5</v>
      </c>
      <c r="E553" s="385" t="s">
        <v>134</v>
      </c>
      <c r="F553" s="15">
        <v>2006</v>
      </c>
      <c r="G553" s="364">
        <v>5</v>
      </c>
      <c r="H553" s="386">
        <v>0.2</v>
      </c>
      <c r="I553" s="387" t="s">
        <v>86</v>
      </c>
      <c r="J553" s="364">
        <v>7</v>
      </c>
      <c r="K553" s="388">
        <f>F553+J553</f>
        <v>2013</v>
      </c>
      <c r="L553" s="21">
        <f t="shared" si="325"/>
        <v>2013.4166666666667</v>
      </c>
      <c r="M553" s="365">
        <v>117561</v>
      </c>
      <c r="N553" s="366">
        <f>M553-M553*H553</f>
        <v>94048.8</v>
      </c>
      <c r="O553" s="366">
        <f>N553/J553/12</f>
        <v>1119.6285714285716</v>
      </c>
      <c r="P553" s="19">
        <f t="shared" si="339"/>
        <v>13435.54285714286</v>
      </c>
      <c r="Q553" s="19">
        <f t="shared" si="340"/>
        <v>0</v>
      </c>
      <c r="R553" s="366"/>
      <c r="S553" s="19">
        <f t="shared" si="341"/>
        <v>117561</v>
      </c>
      <c r="T553" s="19">
        <f t="shared" si="342"/>
        <v>117561</v>
      </c>
      <c r="U553" s="19">
        <f t="shared" si="330"/>
        <v>0</v>
      </c>
    </row>
    <row r="554" spans="3:21">
      <c r="E554" s="16"/>
      <c r="L554" s="21"/>
      <c r="M554" s="429"/>
      <c r="N554" s="430"/>
      <c r="O554" s="430"/>
      <c r="P554" s="47"/>
      <c r="Q554" s="47"/>
      <c r="R554" s="430"/>
      <c r="S554" s="430"/>
      <c r="T554" s="430"/>
      <c r="U554" s="430"/>
    </row>
    <row r="555" spans="3:21">
      <c r="E555" s="16"/>
      <c r="L555" s="21"/>
      <c r="M555" s="429"/>
      <c r="N555" s="430"/>
      <c r="O555" s="430"/>
      <c r="P555" s="47"/>
      <c r="Q555" s="47"/>
      <c r="R555" s="430"/>
      <c r="S555" s="430"/>
      <c r="T555" s="430"/>
      <c r="U555" s="430"/>
    </row>
    <row r="556" spans="3:21">
      <c r="E556" s="441" t="s">
        <v>430</v>
      </c>
      <c r="L556" s="21"/>
      <c r="M556" s="433"/>
      <c r="N556" s="452"/>
      <c r="O556" s="452"/>
      <c r="P556" s="49"/>
      <c r="Q556" s="49"/>
    </row>
    <row r="557" spans="3:21">
      <c r="C557" s="364" t="s">
        <v>99</v>
      </c>
      <c r="D557" s="15">
        <v>32</v>
      </c>
      <c r="E557" s="385" t="s">
        <v>101</v>
      </c>
      <c r="F557" s="15">
        <v>2009</v>
      </c>
      <c r="G557" s="364">
        <v>12</v>
      </c>
      <c r="H557" s="386">
        <v>0.2</v>
      </c>
      <c r="I557" s="387" t="s">
        <v>86</v>
      </c>
      <c r="J557" s="364">
        <v>7</v>
      </c>
      <c r="K557" s="388">
        <f>F557+J557</f>
        <v>2016</v>
      </c>
      <c r="L557" s="21">
        <f t="shared" si="325"/>
        <v>2017</v>
      </c>
      <c r="M557" s="365">
        <v>143203.54999999999</v>
      </c>
      <c r="N557" s="366">
        <f>M557-M557*H557</f>
        <v>114562.84</v>
      </c>
      <c r="O557" s="366">
        <f>N557/J557/12</f>
        <v>1363.8433333333332</v>
      </c>
      <c r="P557" s="19">
        <f t="shared" ref="P557" si="343">+O557*12</f>
        <v>16366.119999999999</v>
      </c>
      <c r="Q557" s="19">
        <f>+IF(L557&lt;=$N$5,0,IF(K557&gt;$N$4,P557,(O557*G557)))</f>
        <v>0</v>
      </c>
      <c r="R557" s="366"/>
      <c r="S557" s="19">
        <f t="shared" ref="S557" si="344">+IF(Q557=0,M557,IF($N$3-F557&lt;1,0,(($N$3-F557)*P557)))</f>
        <v>143203.54999999999</v>
      </c>
      <c r="T557" s="19">
        <f t="shared" ref="T557" si="345">+IF(Q557=0,S557,S557+Q557)</f>
        <v>143203.54999999999</v>
      </c>
      <c r="U557" s="19">
        <f t="shared" si="330"/>
        <v>0</v>
      </c>
    </row>
    <row r="559" spans="3:21">
      <c r="C559" s="364"/>
      <c r="E559" s="441" t="s">
        <v>516</v>
      </c>
      <c r="H559" s="386"/>
      <c r="I559" s="387"/>
      <c r="K559" s="388"/>
      <c r="M559" s="17"/>
      <c r="N559" s="366"/>
      <c r="O559" s="366"/>
      <c r="P559" s="19"/>
      <c r="Q559" s="19"/>
      <c r="R559" s="366"/>
      <c r="S559" s="366"/>
      <c r="T559" s="366"/>
      <c r="U559" s="366"/>
    </row>
    <row r="560" spans="3:21">
      <c r="C560" s="364" t="s">
        <v>94</v>
      </c>
      <c r="D560" s="15">
        <v>14</v>
      </c>
      <c r="E560" s="385" t="s">
        <v>98</v>
      </c>
      <c r="F560" s="15">
        <v>2009</v>
      </c>
      <c r="G560" s="364">
        <v>3</v>
      </c>
      <c r="H560" s="386">
        <v>0</v>
      </c>
      <c r="I560" s="387" t="s">
        <v>86</v>
      </c>
      <c r="J560" s="364">
        <v>5</v>
      </c>
      <c r="K560" s="388">
        <f>F560+J560</f>
        <v>2014</v>
      </c>
      <c r="L560" s="21">
        <f t="shared" ref="L560:L566" si="346">+K560+(G560/12)</f>
        <v>2014.25</v>
      </c>
      <c r="M560" s="20">
        <f>'Depreciation - Orig.'!P19</f>
        <v>16973.337800000001</v>
      </c>
      <c r="N560" s="19">
        <f>M560-M560*H560</f>
        <v>16973.337800000001</v>
      </c>
      <c r="O560" s="19">
        <f>N560/J560/12</f>
        <v>282.88896333333338</v>
      </c>
      <c r="P560" s="19">
        <f t="shared" ref="P560:P566" si="347">+O560*12</f>
        <v>3394.6675600000008</v>
      </c>
      <c r="Q560" s="19">
        <f t="shared" ref="Q560:Q566" si="348">+IF(L560&lt;=$N$5,0,IF(K560&gt;$N$4,P560,(O560*G560)))</f>
        <v>0</v>
      </c>
      <c r="R560" s="19"/>
      <c r="S560" s="19">
        <f t="shared" ref="S560:S566" si="349">+IF(Q560=0,M560,IF($N$3-F560&lt;1,0,(($N$3-F560)*P560)))</f>
        <v>16973.337800000001</v>
      </c>
      <c r="T560" s="19">
        <f t="shared" ref="T560:T566" si="350">+IF(Q560=0,S560,S560+Q560)</f>
        <v>16973.337800000001</v>
      </c>
      <c r="U560" s="19">
        <f t="shared" ref="U560:U566" si="351">M560-T560</f>
        <v>0</v>
      </c>
    </row>
    <row r="561" spans="1:21">
      <c r="A561" s="391"/>
      <c r="B561" s="391"/>
      <c r="C561" s="392"/>
      <c r="D561" s="391"/>
      <c r="E561" s="393" t="s">
        <v>491</v>
      </c>
      <c r="F561" s="391">
        <v>2018</v>
      </c>
      <c r="G561" s="392">
        <v>6</v>
      </c>
      <c r="H561" s="394">
        <v>0</v>
      </c>
      <c r="I561" s="395" t="s">
        <v>86</v>
      </c>
      <c r="J561" s="392">
        <v>3</v>
      </c>
      <c r="K561" s="396">
        <f>F561+J561</f>
        <v>2021</v>
      </c>
      <c r="L561" s="50">
        <f t="shared" si="346"/>
        <v>2021.5</v>
      </c>
      <c r="M561" s="51">
        <f>'Depreciation - Orig.'!N19-Depreciation!M560</f>
        <v>8360.002199999999</v>
      </c>
      <c r="N561" s="52">
        <f>M561-M561*H561</f>
        <v>8360.002199999999</v>
      </c>
      <c r="O561" s="52">
        <f>N561/J561/12</f>
        <v>232.22228333333331</v>
      </c>
      <c r="P561" s="52">
        <f t="shared" si="347"/>
        <v>2786.6673999999998</v>
      </c>
      <c r="Q561" s="52">
        <f t="shared" si="348"/>
        <v>0</v>
      </c>
      <c r="R561" s="52"/>
      <c r="S561" s="52">
        <f t="shared" si="349"/>
        <v>8360.002199999999</v>
      </c>
      <c r="T561" s="52">
        <f t="shared" si="350"/>
        <v>8360.002199999999</v>
      </c>
      <c r="U561" s="52">
        <f t="shared" si="351"/>
        <v>0</v>
      </c>
    </row>
    <row r="562" spans="1:21">
      <c r="B562" s="15" t="s">
        <v>333</v>
      </c>
      <c r="C562" s="364" t="s">
        <v>331</v>
      </c>
      <c r="D562" s="388">
        <v>15</v>
      </c>
      <c r="E562" s="385" t="s">
        <v>334</v>
      </c>
      <c r="F562" s="15">
        <v>2015</v>
      </c>
      <c r="G562" s="364">
        <v>9</v>
      </c>
      <c r="H562" s="386">
        <v>0</v>
      </c>
      <c r="I562" s="387" t="s">
        <v>86</v>
      </c>
      <c r="J562" s="364">
        <v>5</v>
      </c>
      <c r="K562" s="388">
        <f>F562+J562</f>
        <v>2020</v>
      </c>
      <c r="L562" s="21">
        <f t="shared" si="346"/>
        <v>2020.75</v>
      </c>
      <c r="M562" s="20">
        <v>3755</v>
      </c>
      <c r="N562" s="19">
        <f>M562-M562*H562</f>
        <v>3755</v>
      </c>
      <c r="O562" s="19">
        <f>N562/J562/12</f>
        <v>62.583333333333336</v>
      </c>
      <c r="P562" s="19">
        <f t="shared" si="347"/>
        <v>751</v>
      </c>
      <c r="Q562" s="19">
        <f t="shared" si="348"/>
        <v>0</v>
      </c>
      <c r="R562" s="19"/>
      <c r="S562" s="19">
        <f t="shared" si="349"/>
        <v>3755</v>
      </c>
      <c r="T562" s="19">
        <f t="shared" si="350"/>
        <v>3755</v>
      </c>
      <c r="U562" s="19">
        <f t="shared" si="351"/>
        <v>0</v>
      </c>
    </row>
    <row r="563" spans="1:21">
      <c r="C563" s="364" t="s">
        <v>99</v>
      </c>
      <c r="D563" s="15">
        <v>33</v>
      </c>
      <c r="E563" s="385" t="s">
        <v>102</v>
      </c>
      <c r="F563" s="15">
        <v>2009</v>
      </c>
      <c r="G563" s="364">
        <v>12</v>
      </c>
      <c r="H563" s="386">
        <v>0</v>
      </c>
      <c r="I563" s="387" t="s">
        <v>86</v>
      </c>
      <c r="J563" s="364">
        <v>7</v>
      </c>
      <c r="K563" s="388">
        <f>F563+J563</f>
        <v>2016</v>
      </c>
      <c r="L563" s="21">
        <f t="shared" si="346"/>
        <v>2017</v>
      </c>
      <c r="M563" s="20">
        <f>'Depreciation - Orig.'!P21</f>
        <v>114562.84</v>
      </c>
      <c r="N563" s="19">
        <f>M563-M563*H563</f>
        <v>114562.84</v>
      </c>
      <c r="O563" s="19">
        <f>N563/J563/12</f>
        <v>1363.8433333333332</v>
      </c>
      <c r="P563" s="19">
        <f t="shared" si="347"/>
        <v>16366.119999999999</v>
      </c>
      <c r="Q563" s="19">
        <f t="shared" si="348"/>
        <v>0</v>
      </c>
      <c r="R563" s="19"/>
      <c r="S563" s="19">
        <f t="shared" si="349"/>
        <v>114562.84</v>
      </c>
      <c r="T563" s="19">
        <f t="shared" si="350"/>
        <v>114562.84</v>
      </c>
      <c r="U563" s="19">
        <f t="shared" si="351"/>
        <v>0</v>
      </c>
    </row>
    <row r="564" spans="1:21">
      <c r="A564" s="391"/>
      <c r="B564" s="391"/>
      <c r="C564" s="392"/>
      <c r="D564" s="391"/>
      <c r="E564" s="393" t="s">
        <v>493</v>
      </c>
      <c r="F564" s="391">
        <v>2018</v>
      </c>
      <c r="G564" s="392">
        <v>6</v>
      </c>
      <c r="H564" s="394">
        <v>0</v>
      </c>
      <c r="I564" s="395" t="s">
        <v>86</v>
      </c>
      <c r="J564" s="392">
        <v>3</v>
      </c>
      <c r="K564" s="396">
        <f t="shared" ref="K564" si="352">F564+J564</f>
        <v>2021</v>
      </c>
      <c r="L564" s="50">
        <f t="shared" si="346"/>
        <v>2021.5</v>
      </c>
      <c r="M564" s="51">
        <f>'Depreciation - Orig.'!N21-Depreciation!M107</f>
        <v>28640.709999999992</v>
      </c>
      <c r="N564" s="52">
        <f t="shared" ref="N564" si="353">M564-M564*H564</f>
        <v>28640.709999999992</v>
      </c>
      <c r="O564" s="52">
        <f t="shared" ref="O564" si="354">N564/J564/12</f>
        <v>795.5752777777775</v>
      </c>
      <c r="P564" s="52">
        <f t="shared" si="347"/>
        <v>9546.90333333333</v>
      </c>
      <c r="Q564" s="52">
        <f t="shared" si="348"/>
        <v>0</v>
      </c>
      <c r="R564" s="52"/>
      <c r="S564" s="52">
        <f t="shared" si="349"/>
        <v>28640.709999999992</v>
      </c>
      <c r="T564" s="52">
        <f t="shared" si="350"/>
        <v>28640.709999999992</v>
      </c>
      <c r="U564" s="52">
        <f t="shared" si="351"/>
        <v>0</v>
      </c>
    </row>
    <row r="565" spans="1:21" ht="12.75" customHeight="1">
      <c r="D565" s="15">
        <v>7</v>
      </c>
      <c r="E565" s="428" t="s">
        <v>181</v>
      </c>
      <c r="F565" s="15">
        <v>2002</v>
      </c>
      <c r="G565" s="364">
        <v>12</v>
      </c>
      <c r="H565" s="386">
        <v>0</v>
      </c>
      <c r="I565" s="387" t="s">
        <v>86</v>
      </c>
      <c r="J565" s="364">
        <v>10</v>
      </c>
      <c r="K565" s="388">
        <f>F565+J565</f>
        <v>2012</v>
      </c>
      <c r="L565" s="21">
        <f t="shared" si="346"/>
        <v>2013</v>
      </c>
      <c r="M565" s="24">
        <v>12478</v>
      </c>
      <c r="N565" s="19">
        <f>M565-M565*H565</f>
        <v>12478</v>
      </c>
      <c r="O565" s="19">
        <f>N565/J565/12</f>
        <v>103.98333333333333</v>
      </c>
      <c r="P565" s="19">
        <f t="shared" si="347"/>
        <v>1247.8</v>
      </c>
      <c r="Q565" s="19">
        <f t="shared" si="348"/>
        <v>0</v>
      </c>
      <c r="R565" s="19"/>
      <c r="S565" s="19">
        <f t="shared" si="349"/>
        <v>12478</v>
      </c>
      <c r="T565" s="19">
        <f t="shared" si="350"/>
        <v>12478</v>
      </c>
      <c r="U565" s="19">
        <f t="shared" si="351"/>
        <v>0</v>
      </c>
    </row>
    <row r="566" spans="1:21">
      <c r="B566" s="15">
        <v>170294</v>
      </c>
      <c r="D566" s="15" t="s">
        <v>273</v>
      </c>
      <c r="E566" s="15" t="s">
        <v>266</v>
      </c>
      <c r="F566" s="15">
        <v>2016</v>
      </c>
      <c r="G566" s="364">
        <v>11</v>
      </c>
      <c r="H566" s="386">
        <v>0</v>
      </c>
      <c r="I566" s="387" t="s">
        <v>86</v>
      </c>
      <c r="J566" s="364">
        <v>5</v>
      </c>
      <c r="K566" s="388">
        <f>F566+J566</f>
        <v>2021</v>
      </c>
      <c r="L566" s="21">
        <f t="shared" si="346"/>
        <v>2021.9166666666667</v>
      </c>
      <c r="M566" s="365">
        <v>9460.1200000000008</v>
      </c>
      <c r="N566" s="366">
        <f>M566-M566*H566</f>
        <v>9460.1200000000008</v>
      </c>
      <c r="O566" s="366">
        <f>N566/J566/12</f>
        <v>157.66866666666667</v>
      </c>
      <c r="P566" s="19">
        <f t="shared" si="347"/>
        <v>1892.0239999999999</v>
      </c>
      <c r="Q566" s="19">
        <f t="shared" si="348"/>
        <v>0</v>
      </c>
      <c r="R566" s="366"/>
      <c r="S566" s="19">
        <f t="shared" si="349"/>
        <v>9460.1200000000008</v>
      </c>
      <c r="T566" s="19">
        <f t="shared" si="350"/>
        <v>9460.1200000000008</v>
      </c>
      <c r="U566" s="19">
        <f t="shared" si="351"/>
        <v>0</v>
      </c>
    </row>
    <row r="567" spans="1:21">
      <c r="C567" s="364"/>
      <c r="E567" s="385"/>
      <c r="H567" s="386"/>
      <c r="I567" s="387"/>
      <c r="K567" s="388"/>
      <c r="M567" s="17"/>
      <c r="N567" s="366"/>
      <c r="O567" s="366"/>
      <c r="P567" s="19"/>
      <c r="Q567" s="19"/>
      <c r="R567" s="366"/>
      <c r="S567" s="366"/>
      <c r="T567" s="366"/>
      <c r="U567" s="366"/>
    </row>
    <row r="568" spans="1:21">
      <c r="C568" s="364"/>
      <c r="E568" s="418"/>
      <c r="H568" s="386"/>
      <c r="I568" s="387"/>
      <c r="K568" s="388"/>
      <c r="N568" s="366"/>
      <c r="O568" s="366"/>
      <c r="P568" s="19"/>
      <c r="Q568" s="19"/>
      <c r="R568" s="366"/>
      <c r="S568" s="366"/>
      <c r="T568" s="366"/>
      <c r="U568" s="366"/>
    </row>
    <row r="569" spans="1:21">
      <c r="C569" s="364"/>
      <c r="E569" s="385"/>
      <c r="H569" s="386"/>
      <c r="I569" s="387"/>
      <c r="K569" s="388"/>
      <c r="N569" s="366"/>
      <c r="O569" s="366"/>
      <c r="P569" s="19"/>
      <c r="Q569" s="19"/>
      <c r="R569" s="366"/>
      <c r="S569" s="366"/>
      <c r="T569" s="366"/>
      <c r="U569" s="366"/>
    </row>
    <row r="570" spans="1:21">
      <c r="C570" s="364"/>
      <c r="E570" s="441" t="s">
        <v>553</v>
      </c>
      <c r="H570" s="386"/>
      <c r="I570" s="387"/>
      <c r="K570" s="388"/>
      <c r="N570" s="366"/>
      <c r="O570" s="366"/>
      <c r="P570" s="19"/>
      <c r="Q570" s="19"/>
      <c r="R570" s="366"/>
      <c r="S570" s="366"/>
      <c r="T570" s="366"/>
      <c r="U570" s="366"/>
    </row>
    <row r="571" spans="1:21">
      <c r="B571" s="15">
        <v>183686</v>
      </c>
      <c r="C571" s="364" t="s">
        <v>331</v>
      </c>
      <c r="D571" s="388">
        <v>44</v>
      </c>
      <c r="E571" s="385" t="s">
        <v>402</v>
      </c>
      <c r="F571" s="15">
        <v>2017</v>
      </c>
      <c r="G571" s="364">
        <v>6</v>
      </c>
      <c r="H571" s="386">
        <v>0</v>
      </c>
      <c r="I571" s="387" t="s">
        <v>86</v>
      </c>
      <c r="J571" s="364">
        <v>3</v>
      </c>
      <c r="K571" s="388">
        <f>F571+J571</f>
        <v>2020</v>
      </c>
      <c r="L571" s="21">
        <f t="shared" ref="L571:L576" si="355">+K571+(G571/12)</f>
        <v>2020.5</v>
      </c>
      <c r="M571" s="20">
        <v>5000</v>
      </c>
      <c r="N571" s="19">
        <f>M571-M571*H571</f>
        <v>5000</v>
      </c>
      <c r="O571" s="19">
        <f>N571/J571/12</f>
        <v>138.88888888888889</v>
      </c>
      <c r="P571" s="19">
        <f t="shared" ref="P571:P576" si="356">+O571*12</f>
        <v>1666.6666666666665</v>
      </c>
      <c r="Q571" s="19">
        <f t="shared" ref="Q571:Q576" si="357">+IF(L571&lt;=$N$5,0,IF(K571&gt;$N$4,P571,(O571*G571)))</f>
        <v>0</v>
      </c>
      <c r="R571" s="19"/>
      <c r="S571" s="19">
        <f t="shared" ref="S571:S576" si="358">+IF(Q571=0,M571,IF($N$3-F571&lt;1,0,(($N$3-F571)*P571)))</f>
        <v>5000</v>
      </c>
      <c r="T571" s="19">
        <f t="shared" ref="T571:T576" si="359">+IF(Q571=0,S571,S571+Q571)</f>
        <v>5000</v>
      </c>
      <c r="U571" s="19">
        <f>M571-T571</f>
        <v>0</v>
      </c>
    </row>
    <row r="572" spans="1:21">
      <c r="B572" s="15" t="s">
        <v>427</v>
      </c>
      <c r="C572" s="364"/>
      <c r="D572" s="388">
        <v>42</v>
      </c>
      <c r="E572" s="385" t="s">
        <v>408</v>
      </c>
      <c r="F572" s="15">
        <v>2017</v>
      </c>
      <c r="G572" s="364">
        <v>6</v>
      </c>
      <c r="H572" s="386">
        <v>0</v>
      </c>
      <c r="I572" s="387" t="s">
        <v>86</v>
      </c>
      <c r="J572" s="364">
        <v>3</v>
      </c>
      <c r="K572" s="388">
        <f>F572+J572</f>
        <v>2020</v>
      </c>
      <c r="L572" s="21">
        <f t="shared" si="355"/>
        <v>2020.5</v>
      </c>
      <c r="M572" s="20">
        <v>1342.06</v>
      </c>
      <c r="N572" s="19">
        <f>M572-M572*H572</f>
        <v>1342.06</v>
      </c>
      <c r="O572" s="19">
        <f>N572/J572/12</f>
        <v>37.279444444444444</v>
      </c>
      <c r="P572" s="19">
        <f t="shared" si="356"/>
        <v>447.35333333333335</v>
      </c>
      <c r="Q572" s="19">
        <f t="shared" si="357"/>
        <v>0</v>
      </c>
      <c r="R572" s="19"/>
      <c r="S572" s="19">
        <f t="shared" si="358"/>
        <v>1342.06</v>
      </c>
      <c r="T572" s="19">
        <f t="shared" si="359"/>
        <v>1342.06</v>
      </c>
      <c r="U572" s="19">
        <f>M572-T572</f>
        <v>0</v>
      </c>
    </row>
    <row r="573" spans="1:21">
      <c r="B573" s="15">
        <v>183683</v>
      </c>
      <c r="C573" s="364" t="s">
        <v>331</v>
      </c>
      <c r="D573" s="388">
        <v>43</v>
      </c>
      <c r="E573" s="385" t="s">
        <v>405</v>
      </c>
      <c r="F573" s="15">
        <v>2017</v>
      </c>
      <c r="G573" s="364">
        <v>6</v>
      </c>
      <c r="H573" s="386">
        <v>0</v>
      </c>
      <c r="I573" s="387" t="s">
        <v>86</v>
      </c>
      <c r="J573" s="364">
        <v>3</v>
      </c>
      <c r="K573" s="388">
        <f>F573+J573</f>
        <v>2020</v>
      </c>
      <c r="L573" s="21">
        <f t="shared" si="355"/>
        <v>2020.5</v>
      </c>
      <c r="M573" s="20">
        <v>5000</v>
      </c>
      <c r="N573" s="19">
        <f>M573-M573*H573</f>
        <v>5000</v>
      </c>
      <c r="O573" s="19">
        <f>N573/J573/12</f>
        <v>138.88888888888889</v>
      </c>
      <c r="P573" s="19">
        <f t="shared" si="356"/>
        <v>1666.6666666666665</v>
      </c>
      <c r="Q573" s="19">
        <f t="shared" si="357"/>
        <v>0</v>
      </c>
      <c r="R573" s="19"/>
      <c r="S573" s="19">
        <f t="shared" si="358"/>
        <v>5000</v>
      </c>
      <c r="T573" s="19">
        <f t="shared" si="359"/>
        <v>5000</v>
      </c>
      <c r="U573" s="19">
        <f>M573-T573</f>
        <v>0</v>
      </c>
    </row>
    <row r="574" spans="1:21">
      <c r="B574" s="15" t="s">
        <v>411</v>
      </c>
      <c r="C574" s="364"/>
      <c r="D574" s="388">
        <v>43</v>
      </c>
      <c r="E574" s="385" t="s">
        <v>408</v>
      </c>
      <c r="F574" s="15">
        <v>2017</v>
      </c>
      <c r="G574" s="364">
        <v>6</v>
      </c>
      <c r="H574" s="386">
        <v>0</v>
      </c>
      <c r="I574" s="387" t="s">
        <v>86</v>
      </c>
      <c r="J574" s="364">
        <v>3</v>
      </c>
      <c r="K574" s="388">
        <f>F574+J574</f>
        <v>2020</v>
      </c>
      <c r="L574" s="21">
        <f t="shared" si="355"/>
        <v>2020.5</v>
      </c>
      <c r="M574" s="20">
        <v>1386.5</v>
      </c>
      <c r="N574" s="19">
        <f>M574-M574*H574</f>
        <v>1386.5</v>
      </c>
      <c r="O574" s="19">
        <f>N574/J574/12</f>
        <v>38.513888888888893</v>
      </c>
      <c r="P574" s="19">
        <f t="shared" si="356"/>
        <v>462.16666666666674</v>
      </c>
      <c r="Q574" s="19">
        <f t="shared" si="357"/>
        <v>0</v>
      </c>
      <c r="R574" s="19"/>
      <c r="S574" s="19">
        <f t="shared" si="358"/>
        <v>1386.5</v>
      </c>
      <c r="T574" s="19">
        <f t="shared" si="359"/>
        <v>1386.5</v>
      </c>
      <c r="U574" s="19">
        <f>M574-T574</f>
        <v>0</v>
      </c>
    </row>
    <row r="575" spans="1:21">
      <c r="C575" s="364" t="s">
        <v>99</v>
      </c>
      <c r="D575" s="15">
        <v>31</v>
      </c>
      <c r="E575" s="385" t="s">
        <v>100</v>
      </c>
      <c r="F575" s="15">
        <v>2009</v>
      </c>
      <c r="G575" s="364">
        <v>12</v>
      </c>
      <c r="H575" s="386">
        <v>0</v>
      </c>
      <c r="I575" s="387" t="s">
        <v>86</v>
      </c>
      <c r="J575" s="364">
        <v>7</v>
      </c>
      <c r="K575" s="388">
        <f>F575+J575</f>
        <v>2016</v>
      </c>
      <c r="L575" s="21">
        <f t="shared" si="355"/>
        <v>2017</v>
      </c>
      <c r="M575" s="20">
        <f>'Depreciation - Orig.'!P20</f>
        <v>114562.84</v>
      </c>
      <c r="N575" s="19">
        <f>M575-M575*H575</f>
        <v>114562.84</v>
      </c>
      <c r="O575" s="19">
        <f>N575/J575/12</f>
        <v>1363.8433333333332</v>
      </c>
      <c r="P575" s="19">
        <f t="shared" si="356"/>
        <v>16366.119999999999</v>
      </c>
      <c r="Q575" s="19">
        <f t="shared" si="357"/>
        <v>0</v>
      </c>
      <c r="R575" s="19"/>
      <c r="S575" s="19">
        <f t="shared" si="358"/>
        <v>114562.84</v>
      </c>
      <c r="T575" s="19">
        <f t="shared" si="359"/>
        <v>114562.84</v>
      </c>
      <c r="U575" s="19">
        <f>+M575-T575</f>
        <v>0</v>
      </c>
    </row>
    <row r="576" spans="1:21">
      <c r="A576" s="391"/>
      <c r="B576" s="391"/>
      <c r="C576" s="392"/>
      <c r="D576" s="391"/>
      <c r="E576" s="393" t="s">
        <v>492</v>
      </c>
      <c r="F576" s="391">
        <v>2020</v>
      </c>
      <c r="G576" s="392">
        <v>12</v>
      </c>
      <c r="H576" s="394">
        <v>0</v>
      </c>
      <c r="I576" s="395" t="s">
        <v>86</v>
      </c>
      <c r="J576" s="392">
        <v>3</v>
      </c>
      <c r="K576" s="396">
        <f t="shared" ref="K576" si="360">F576+J576</f>
        <v>2023</v>
      </c>
      <c r="L576" s="50">
        <f t="shared" si="355"/>
        <v>2024</v>
      </c>
      <c r="M576" s="51">
        <f>'Depreciation - Orig.'!N20-Depreciation!M575</f>
        <v>28640.709999999992</v>
      </c>
      <c r="N576" s="52">
        <f t="shared" ref="N576" si="361">M576-M576*H576</f>
        <v>28640.709999999992</v>
      </c>
      <c r="O576" s="52">
        <f t="shared" ref="O576" si="362">N576/J576/12</f>
        <v>795.5752777777775</v>
      </c>
      <c r="P576" s="52">
        <f t="shared" si="356"/>
        <v>9546.90333333333</v>
      </c>
      <c r="Q576" s="52">
        <f t="shared" si="357"/>
        <v>0</v>
      </c>
      <c r="R576" s="52"/>
      <c r="S576" s="52">
        <f t="shared" si="358"/>
        <v>28640.709999999992</v>
      </c>
      <c r="T576" s="52">
        <f t="shared" si="359"/>
        <v>28640.709999999992</v>
      </c>
      <c r="U576" s="52">
        <f>+M576-T576</f>
        <v>0</v>
      </c>
    </row>
    <row r="577" spans="1:24">
      <c r="C577" s="364"/>
      <c r="E577" s="385"/>
      <c r="H577" s="386"/>
      <c r="I577" s="387"/>
      <c r="K577" s="388"/>
      <c r="N577" s="366"/>
      <c r="O577" s="366"/>
      <c r="P577" s="19"/>
      <c r="Q577" s="19"/>
      <c r="R577" s="366"/>
      <c r="S577" s="366"/>
      <c r="T577" s="366"/>
      <c r="U577" s="366"/>
    </row>
    <row r="578" spans="1:24">
      <c r="C578" s="364"/>
      <c r="E578" s="418"/>
      <c r="H578" s="386"/>
      <c r="I578" s="387"/>
      <c r="K578" s="388"/>
      <c r="N578" s="366"/>
      <c r="O578" s="366"/>
      <c r="P578" s="19"/>
      <c r="Q578" s="19"/>
      <c r="R578" s="366"/>
      <c r="S578" s="366"/>
      <c r="T578" s="366"/>
      <c r="U578" s="366"/>
    </row>
    <row r="579" spans="1:24">
      <c r="C579" s="364"/>
      <c r="E579" s="385"/>
      <c r="H579" s="386"/>
      <c r="I579" s="387"/>
      <c r="K579" s="388"/>
      <c r="N579" s="366"/>
      <c r="O579" s="366"/>
      <c r="P579" s="19"/>
      <c r="Q579" s="19"/>
      <c r="R579" s="366"/>
      <c r="S579" s="366"/>
      <c r="T579" s="366"/>
      <c r="U579" s="366"/>
    </row>
    <row r="580" spans="1:24">
      <c r="C580" s="364"/>
      <c r="E580" s="385"/>
      <c r="H580" s="386"/>
      <c r="I580" s="387"/>
      <c r="K580" s="388"/>
      <c r="M580" s="17"/>
      <c r="N580" s="366"/>
      <c r="O580" s="366"/>
      <c r="P580" s="19"/>
      <c r="Q580" s="19"/>
      <c r="R580" s="366"/>
      <c r="S580" s="366"/>
      <c r="T580" s="366"/>
      <c r="U580" s="366"/>
    </row>
    <row r="581" spans="1:24">
      <c r="C581" s="364"/>
      <c r="E581" s="441" t="s">
        <v>1564</v>
      </c>
      <c r="H581" s="386"/>
      <c r="I581" s="387"/>
      <c r="K581" s="388"/>
      <c r="N581" s="366"/>
      <c r="O581" s="366"/>
      <c r="P581" s="19"/>
      <c r="Q581" s="19"/>
      <c r="R581" s="366"/>
      <c r="S581" s="366"/>
      <c r="T581" s="366"/>
      <c r="U581" s="366"/>
    </row>
    <row r="582" spans="1:24">
      <c r="B582" s="15">
        <v>240077</v>
      </c>
      <c r="C582" s="364"/>
      <c r="D582" s="388">
        <v>4068</v>
      </c>
      <c r="E582" s="385" t="s">
        <v>554</v>
      </c>
      <c r="F582" s="15">
        <v>2008</v>
      </c>
      <c r="G582" s="364">
        <v>11</v>
      </c>
      <c r="H582" s="386">
        <v>0</v>
      </c>
      <c r="I582" s="387" t="s">
        <v>86</v>
      </c>
      <c r="J582" s="364">
        <v>10</v>
      </c>
      <c r="K582" s="388">
        <f>F582+J582</f>
        <v>2018</v>
      </c>
      <c r="L582" s="21">
        <f t="shared" ref="L582:L587" si="363">+K582+(G582/12)</f>
        <v>2018.9166666666667</v>
      </c>
      <c r="M582" s="20">
        <v>132389</v>
      </c>
      <c r="N582" s="19">
        <f t="shared" ref="N582:N583" si="364">M582-M582*H582</f>
        <v>132389</v>
      </c>
      <c r="O582" s="19">
        <f t="shared" ref="O582:O583" si="365">N582/J582/12</f>
        <v>1103.2416666666666</v>
      </c>
      <c r="P582" s="19">
        <f t="shared" ref="P582" si="366">+O582*12</f>
        <v>13238.899999999998</v>
      </c>
      <c r="Q582" s="390">
        <f t="shared" ref="Q582:Q590" si="367">+IF(L582&gt;$N$6,P582,0)</f>
        <v>0</v>
      </c>
      <c r="R582" s="101"/>
      <c r="S582" s="390">
        <f t="shared" ref="S582:S590" si="368">+IF($L582&lt;=$N$7,$M582,IF(($F582+($G582/12))&gt;=$N$7,0,((($N582-((($L582-$N$7)*12)*$O582))))))</f>
        <v>132389</v>
      </c>
      <c r="T582" s="19">
        <f t="shared" ref="T582" si="369">+IF(Q582=0,S582,S582+Q582)</f>
        <v>132389</v>
      </c>
      <c r="U582" s="19">
        <f t="shared" ref="U582:U583" si="370">M582-T582</f>
        <v>0</v>
      </c>
    </row>
    <row r="583" spans="1:24">
      <c r="A583" s="391"/>
      <c r="B583" s="391"/>
      <c r="C583" s="392"/>
      <c r="D583" s="391"/>
      <c r="E583" s="393" t="s">
        <v>577</v>
      </c>
      <c r="F583" s="391">
        <v>2019</v>
      </c>
      <c r="G583" s="392">
        <v>8</v>
      </c>
      <c r="H583" s="394">
        <v>0</v>
      </c>
      <c r="I583" s="395" t="s">
        <v>86</v>
      </c>
      <c r="J583" s="392">
        <v>3</v>
      </c>
      <c r="K583" s="396">
        <f t="shared" ref="K583" si="371">F583+J583</f>
        <v>2022</v>
      </c>
      <c r="L583" s="50">
        <f t="shared" si="363"/>
        <v>2022.6666666666667</v>
      </c>
      <c r="M583" s="51">
        <f>165486-Depreciation!M582</f>
        <v>33097</v>
      </c>
      <c r="N583" s="52">
        <f t="shared" si="364"/>
        <v>33097</v>
      </c>
      <c r="O583" s="52">
        <f t="shared" si="365"/>
        <v>919.3611111111112</v>
      </c>
      <c r="P583" s="52">
        <f>+O583*12</f>
        <v>11032.333333333334</v>
      </c>
      <c r="Q583" s="390">
        <f t="shared" si="367"/>
        <v>0</v>
      </c>
      <c r="R583" s="101"/>
      <c r="S583" s="390">
        <f t="shared" si="368"/>
        <v>33097</v>
      </c>
      <c r="T583" s="52">
        <f>+IF(Q583=0,S583,S583+Q583)</f>
        <v>33097</v>
      </c>
      <c r="U583" s="52">
        <f t="shared" si="370"/>
        <v>0</v>
      </c>
    </row>
    <row r="584" spans="1:24">
      <c r="B584" s="15" t="s">
        <v>576</v>
      </c>
      <c r="C584" s="364"/>
      <c r="D584" s="388">
        <v>4068</v>
      </c>
      <c r="E584" s="385" t="s">
        <v>561</v>
      </c>
      <c r="F584" s="15">
        <v>2009</v>
      </c>
      <c r="G584" s="364">
        <v>1</v>
      </c>
      <c r="H584" s="386">
        <v>0</v>
      </c>
      <c r="I584" s="387" t="s">
        <v>86</v>
      </c>
      <c r="J584" s="364">
        <v>3</v>
      </c>
      <c r="K584" s="388">
        <f>F584+J584</f>
        <v>2012</v>
      </c>
      <c r="L584" s="21">
        <f t="shared" si="363"/>
        <v>2012.0833333333333</v>
      </c>
      <c r="M584" s="20">
        <v>3895.03</v>
      </c>
      <c r="N584" s="19">
        <f>M584-M584*H584</f>
        <v>3895.03</v>
      </c>
      <c r="O584" s="19">
        <f>N584/J584/12</f>
        <v>108.19527777777779</v>
      </c>
      <c r="P584" s="19">
        <f>+O584*12</f>
        <v>1298.3433333333335</v>
      </c>
      <c r="Q584" s="390">
        <f t="shared" si="367"/>
        <v>0</v>
      </c>
      <c r="R584" s="101"/>
      <c r="S584" s="390">
        <f t="shared" si="368"/>
        <v>3895.03</v>
      </c>
      <c r="T584" s="19">
        <f>+IF(Q584=0,S584,S584+Q584)</f>
        <v>3895.03</v>
      </c>
      <c r="U584" s="19">
        <f>M584-T584</f>
        <v>0</v>
      </c>
    </row>
    <row r="585" spans="1:24">
      <c r="B585" s="15" t="s">
        <v>559</v>
      </c>
      <c r="C585" s="364"/>
      <c r="D585" s="388">
        <v>4068</v>
      </c>
      <c r="E585" s="385" t="s">
        <v>560</v>
      </c>
      <c r="F585" s="15">
        <v>2013</v>
      </c>
      <c r="G585" s="364">
        <v>11</v>
      </c>
      <c r="H585" s="386">
        <v>0</v>
      </c>
      <c r="I585" s="387" t="s">
        <v>86</v>
      </c>
      <c r="J585" s="364">
        <v>3</v>
      </c>
      <c r="K585" s="388">
        <f>F585+J585</f>
        <v>2016</v>
      </c>
      <c r="L585" s="21">
        <f t="shared" si="363"/>
        <v>2016.9166666666667</v>
      </c>
      <c r="M585" s="20">
        <v>8837.86</v>
      </c>
      <c r="N585" s="19">
        <f>M585-M585*H585</f>
        <v>8837.86</v>
      </c>
      <c r="O585" s="19">
        <f>N585/J585/12</f>
        <v>245.49611111111111</v>
      </c>
      <c r="P585" s="19">
        <f>+O585*12</f>
        <v>2945.9533333333334</v>
      </c>
      <c r="Q585" s="390">
        <f t="shared" si="367"/>
        <v>0</v>
      </c>
      <c r="R585" s="101"/>
      <c r="S585" s="390">
        <f t="shared" si="368"/>
        <v>8837.86</v>
      </c>
      <c r="T585" s="19">
        <f>+IF(Q585=0,S585,S585+Q585)</f>
        <v>8837.86</v>
      </c>
      <c r="U585" s="19">
        <f>M585-T585</f>
        <v>0</v>
      </c>
    </row>
    <row r="586" spans="1:24">
      <c r="B586" s="15" t="s">
        <v>555</v>
      </c>
      <c r="C586" s="364"/>
      <c r="D586" s="388">
        <v>4068</v>
      </c>
      <c r="E586" s="385" t="s">
        <v>556</v>
      </c>
      <c r="F586" s="15">
        <v>2019</v>
      </c>
      <c r="G586" s="364">
        <v>7</v>
      </c>
      <c r="H586" s="386">
        <v>0</v>
      </c>
      <c r="I586" s="387" t="s">
        <v>86</v>
      </c>
      <c r="J586" s="364">
        <v>3</v>
      </c>
      <c r="K586" s="388">
        <f>F586+J586</f>
        <v>2022</v>
      </c>
      <c r="L586" s="21">
        <f t="shared" si="363"/>
        <v>2022.5833333333333</v>
      </c>
      <c r="M586" s="20">
        <v>2748.77</v>
      </c>
      <c r="N586" s="19">
        <f t="shared" ref="N586" si="372">M586-M586*H586</f>
        <v>2748.77</v>
      </c>
      <c r="O586" s="19">
        <f t="shared" ref="O586" si="373">N586/J586/12</f>
        <v>76.354722222222222</v>
      </c>
      <c r="P586" s="19">
        <f t="shared" ref="P586" si="374">+O586*12</f>
        <v>916.25666666666666</v>
      </c>
      <c r="Q586" s="390">
        <f t="shared" si="367"/>
        <v>0</v>
      </c>
      <c r="R586" s="101"/>
      <c r="S586" s="390">
        <f t="shared" si="368"/>
        <v>2748.77</v>
      </c>
      <c r="T586" s="19">
        <f t="shared" ref="T586" si="375">+IF(Q586=0,S586,S586+Q586)</f>
        <v>2748.77</v>
      </c>
      <c r="U586" s="19">
        <f t="shared" ref="U586" si="376">M586-T586</f>
        <v>0</v>
      </c>
    </row>
    <row r="587" spans="1:24">
      <c r="B587" s="15" t="s">
        <v>557</v>
      </c>
      <c r="C587" s="364"/>
      <c r="D587" s="388">
        <v>4068</v>
      </c>
      <c r="E587" s="385" t="s">
        <v>558</v>
      </c>
      <c r="F587" s="15">
        <v>2019</v>
      </c>
      <c r="G587" s="364">
        <v>6</v>
      </c>
      <c r="H587" s="386">
        <v>0</v>
      </c>
      <c r="I587" s="387" t="s">
        <v>86</v>
      </c>
      <c r="J587" s="364">
        <v>3</v>
      </c>
      <c r="K587" s="388">
        <f>F587+J587</f>
        <v>2022</v>
      </c>
      <c r="L587" s="21">
        <f t="shared" si="363"/>
        <v>2022.5</v>
      </c>
      <c r="M587" s="20">
        <v>35401.68</v>
      </c>
      <c r="N587" s="19">
        <f t="shared" ref="N587" si="377">M587-M587*H587</f>
        <v>35401.68</v>
      </c>
      <c r="O587" s="19">
        <f t="shared" ref="O587" si="378">N587/J587/12</f>
        <v>983.38</v>
      </c>
      <c r="P587" s="19">
        <f t="shared" ref="P587" si="379">+O587*12</f>
        <v>11800.56</v>
      </c>
      <c r="Q587" s="390">
        <f t="shared" si="367"/>
        <v>0</v>
      </c>
      <c r="R587" s="101"/>
      <c r="S587" s="390">
        <f t="shared" si="368"/>
        <v>35401.68</v>
      </c>
      <c r="T587" s="19">
        <f t="shared" ref="T587" si="380">+IF(Q587=0,S587,S587+Q587)</f>
        <v>35401.68</v>
      </c>
      <c r="U587" s="19">
        <f t="shared" ref="U587" si="381">M587-T587</f>
        <v>0</v>
      </c>
    </row>
    <row r="588" spans="1:24">
      <c r="B588" s="15">
        <v>183685</v>
      </c>
      <c r="C588" s="364" t="s">
        <v>331</v>
      </c>
      <c r="D588" s="388">
        <v>42</v>
      </c>
      <c r="E588" s="385" t="s">
        <v>632</v>
      </c>
      <c r="F588" s="15">
        <v>2017</v>
      </c>
      <c r="G588" s="364">
        <v>6</v>
      </c>
      <c r="H588" s="386">
        <v>0</v>
      </c>
      <c r="I588" s="387" t="s">
        <v>86</v>
      </c>
      <c r="J588" s="364">
        <v>7</v>
      </c>
      <c r="K588" s="388">
        <f t="shared" ref="K588:K590" si="382">F588+J588</f>
        <v>2024</v>
      </c>
      <c r="L588" s="21">
        <f t="shared" ref="L588:L590" si="383">+K588+(G588/12)</f>
        <v>2024.5</v>
      </c>
      <c r="M588" s="20">
        <v>33000</v>
      </c>
      <c r="N588" s="19">
        <f t="shared" ref="N588:N590" si="384">M588-M588*H588</f>
        <v>33000</v>
      </c>
      <c r="O588" s="19">
        <f t="shared" ref="O588:O590" si="385">N588/J588/12</f>
        <v>392.85714285714289</v>
      </c>
      <c r="P588" s="19">
        <f t="shared" ref="P588:P590" si="386">+O588*12</f>
        <v>4714.2857142857147</v>
      </c>
      <c r="Q588" s="390">
        <f t="shared" si="367"/>
        <v>4714.2857142857147</v>
      </c>
      <c r="R588" s="101"/>
      <c r="S588" s="390">
        <f t="shared" si="368"/>
        <v>27107.142857142855</v>
      </c>
      <c r="T588" s="19">
        <f t="shared" ref="T588:T590" si="387">+IF(Q588=0,S588,S588+Q588)</f>
        <v>31821.428571428569</v>
      </c>
      <c r="U588" s="19">
        <f t="shared" ref="U588:U590" si="388">M588-T588</f>
        <v>1178.5714285714312</v>
      </c>
    </row>
    <row r="589" spans="1:24">
      <c r="B589" s="15" t="s">
        <v>410</v>
      </c>
      <c r="C589" s="364"/>
      <c r="D589" s="388">
        <v>42</v>
      </c>
      <c r="E589" s="385" t="s">
        <v>408</v>
      </c>
      <c r="F589" s="15">
        <v>2017</v>
      </c>
      <c r="G589" s="364">
        <v>6</v>
      </c>
      <c r="H589" s="386">
        <v>0</v>
      </c>
      <c r="I589" s="387" t="s">
        <v>86</v>
      </c>
      <c r="J589" s="364">
        <v>3</v>
      </c>
      <c r="K589" s="388">
        <f t="shared" si="382"/>
        <v>2020</v>
      </c>
      <c r="L589" s="21">
        <f t="shared" si="383"/>
        <v>2020.5</v>
      </c>
      <c r="M589" s="20">
        <v>2398.5</v>
      </c>
      <c r="N589" s="19">
        <f t="shared" si="384"/>
        <v>2398.5</v>
      </c>
      <c r="O589" s="19">
        <f t="shared" si="385"/>
        <v>66.625</v>
      </c>
      <c r="P589" s="19">
        <f t="shared" si="386"/>
        <v>799.5</v>
      </c>
      <c r="Q589" s="390">
        <f t="shared" si="367"/>
        <v>0</v>
      </c>
      <c r="R589" s="101"/>
      <c r="S589" s="390">
        <f t="shared" si="368"/>
        <v>2398.5</v>
      </c>
      <c r="T589" s="19">
        <f t="shared" si="387"/>
        <v>2398.5</v>
      </c>
      <c r="U589" s="19">
        <f t="shared" si="388"/>
        <v>0</v>
      </c>
    </row>
    <row r="590" spans="1:24">
      <c r="C590" s="364" t="s">
        <v>111</v>
      </c>
      <c r="D590" s="15">
        <v>24</v>
      </c>
      <c r="E590" s="385" t="s">
        <v>113</v>
      </c>
      <c r="F590" s="15">
        <v>2009</v>
      </c>
      <c r="G590" s="364">
        <v>4</v>
      </c>
      <c r="H590" s="386">
        <v>0</v>
      </c>
      <c r="I590" s="387" t="s">
        <v>86</v>
      </c>
      <c r="J590" s="364">
        <v>5</v>
      </c>
      <c r="K590" s="388">
        <f t="shared" si="382"/>
        <v>2014</v>
      </c>
      <c r="L590" s="21">
        <f t="shared" si="383"/>
        <v>2014.3333333333333</v>
      </c>
      <c r="M590" s="20">
        <v>107180.0876</v>
      </c>
      <c r="N590" s="19">
        <f t="shared" si="384"/>
        <v>107180.0876</v>
      </c>
      <c r="O590" s="19">
        <f t="shared" si="385"/>
        <v>1786.3347933333334</v>
      </c>
      <c r="P590" s="19">
        <f t="shared" si="386"/>
        <v>21436.017520000001</v>
      </c>
      <c r="Q590" s="390">
        <f t="shared" si="367"/>
        <v>0</v>
      </c>
      <c r="R590" s="101"/>
      <c r="S590" s="390">
        <f t="shared" si="368"/>
        <v>107180.0876</v>
      </c>
      <c r="T590" s="19">
        <f t="shared" si="387"/>
        <v>107180.0876</v>
      </c>
      <c r="U590" s="19">
        <f t="shared" si="388"/>
        <v>0</v>
      </c>
      <c r="V590" s="129"/>
      <c r="W590" s="15" t="s">
        <v>1579</v>
      </c>
    </row>
    <row r="591" spans="1:24">
      <c r="A591" s="391"/>
      <c r="B591" s="391"/>
      <c r="C591" s="392"/>
      <c r="D591" s="391"/>
      <c r="E591" s="393" t="s">
        <v>500</v>
      </c>
      <c r="F591" s="391">
        <v>2020</v>
      </c>
      <c r="G591" s="392">
        <v>12</v>
      </c>
      <c r="H591" s="394">
        <v>0</v>
      </c>
      <c r="I591" s="395" t="s">
        <v>86</v>
      </c>
      <c r="J591" s="392">
        <v>3</v>
      </c>
      <c r="K591" s="396">
        <f>F591+J591</f>
        <v>2023</v>
      </c>
      <c r="L591" s="50">
        <f>+K591+(G591/12)</f>
        <v>2024</v>
      </c>
      <c r="M591" s="51">
        <f>'Depreciation - Orig.'!N42-Depreciation!M55</f>
        <v>159970.28</v>
      </c>
      <c r="N591" s="52">
        <f>M591-M591*H591</f>
        <v>159970.28</v>
      </c>
      <c r="O591" s="52">
        <f>N591/J591/12</f>
        <v>4443.6188888888892</v>
      </c>
      <c r="P591" s="52">
        <f>+O591*12</f>
        <v>53323.426666666666</v>
      </c>
      <c r="Q591" s="389">
        <f>+IF(L591&gt;$N$6,P591,0)</f>
        <v>0</v>
      </c>
      <c r="R591" s="101"/>
      <c r="S591" s="390">
        <f>+IF($L591&lt;=$N$7,$M591,IF(($F591+($G591/12))&gt;=$N$7,0,((($N591-((($L591-$N$7)*12)*$O591))))))</f>
        <v>119977.70999999999</v>
      </c>
      <c r="T591" s="19">
        <f>+IF(Q591=0,M591,S591+Q591)</f>
        <v>159970.28</v>
      </c>
      <c r="U591" s="19">
        <f>+M591-T591</f>
        <v>0</v>
      </c>
      <c r="W591" s="39"/>
      <c r="X591" s="39"/>
    </row>
    <row r="592" spans="1:24">
      <c r="C592" s="364" t="s">
        <v>121</v>
      </c>
      <c r="D592" s="15">
        <v>28</v>
      </c>
      <c r="E592" s="385" t="s">
        <v>122</v>
      </c>
      <c r="F592" s="15">
        <v>2009</v>
      </c>
      <c r="G592" s="364">
        <v>7</v>
      </c>
      <c r="H592" s="386">
        <v>0</v>
      </c>
      <c r="I592" s="387" t="s">
        <v>86</v>
      </c>
      <c r="J592" s="364">
        <v>7</v>
      </c>
      <c r="K592" s="388">
        <v>2016</v>
      </c>
      <c r="L592" s="21">
        <v>2016.5833333333333</v>
      </c>
      <c r="M592" s="20">
        <v>200604</v>
      </c>
      <c r="N592" s="19">
        <f t="shared" ref="N592:N593" si="389">M592-M592*H592</f>
        <v>200604</v>
      </c>
      <c r="O592" s="19">
        <f t="shared" ref="O592:O593" si="390">N592/J592/12</f>
        <v>2388.1428571428573</v>
      </c>
      <c r="P592" s="19">
        <f t="shared" ref="P592:P593" si="391">+O592*12</f>
        <v>28657.71428571429</v>
      </c>
      <c r="Q592" s="390">
        <v>0</v>
      </c>
      <c r="R592" s="101"/>
      <c r="S592" s="390">
        <v>200604</v>
      </c>
      <c r="T592" s="19">
        <v>200604</v>
      </c>
      <c r="U592" s="19">
        <v>0</v>
      </c>
      <c r="V592" s="129"/>
      <c r="W592" s="20" t="s">
        <v>1581</v>
      </c>
    </row>
    <row r="593" spans="1:24">
      <c r="C593" s="364" t="s">
        <v>121</v>
      </c>
      <c r="D593" s="15">
        <v>27</v>
      </c>
      <c r="E593" s="385" t="s">
        <v>123</v>
      </c>
      <c r="F593" s="15">
        <v>2009</v>
      </c>
      <c r="G593" s="364">
        <v>7</v>
      </c>
      <c r="H593" s="386">
        <v>0</v>
      </c>
      <c r="I593" s="387" t="s">
        <v>86</v>
      </c>
      <c r="J593" s="364">
        <v>7</v>
      </c>
      <c r="K593" s="388">
        <v>2016</v>
      </c>
      <c r="L593" s="21">
        <v>2016.5833333333333</v>
      </c>
      <c r="M593" s="20">
        <v>188638.4</v>
      </c>
      <c r="N593" s="19">
        <f t="shared" si="389"/>
        <v>188638.4</v>
      </c>
      <c r="O593" s="19">
        <f t="shared" si="390"/>
        <v>2245.695238095238</v>
      </c>
      <c r="P593" s="19">
        <f t="shared" si="391"/>
        <v>26948.342857142856</v>
      </c>
      <c r="Q593" s="390">
        <v>0</v>
      </c>
      <c r="R593" s="101"/>
      <c r="S593" s="390">
        <v>188638.4</v>
      </c>
      <c r="T593" s="19">
        <v>188638.4</v>
      </c>
      <c r="U593" s="19">
        <v>0</v>
      </c>
      <c r="V593" s="129"/>
      <c r="W593" s="20" t="s">
        <v>1598</v>
      </c>
    </row>
    <row r="594" spans="1:24">
      <c r="A594" s="391"/>
      <c r="B594" s="391"/>
      <c r="C594" s="392"/>
      <c r="D594" s="391"/>
      <c r="E594" s="393" t="s">
        <v>504</v>
      </c>
      <c r="F594" s="391">
        <v>2020</v>
      </c>
      <c r="G594" s="392">
        <v>12</v>
      </c>
      <c r="H594" s="394">
        <v>0</v>
      </c>
      <c r="I594" s="395" t="s">
        <v>86</v>
      </c>
      <c r="J594" s="392">
        <v>3</v>
      </c>
      <c r="K594" s="396">
        <f>F594+J594</f>
        <v>2023</v>
      </c>
      <c r="L594" s="50">
        <f>+K594+(G594/12)</f>
        <v>2024</v>
      </c>
      <c r="M594" s="51" t="e">
        <f>'Depreciation - Orig.'!N72-Depreciation!#REF!</f>
        <v>#REF!</v>
      </c>
      <c r="N594" s="52" t="e">
        <f>M594-M594*H594</f>
        <v>#REF!</v>
      </c>
      <c r="O594" s="52" t="e">
        <f>N594/J594/12</f>
        <v>#REF!</v>
      </c>
      <c r="P594" s="52" t="e">
        <f>+O594*12</f>
        <v>#REF!</v>
      </c>
      <c r="Q594" s="389">
        <f>+IF(L594&gt;$N$6,P594,0)</f>
        <v>0</v>
      </c>
      <c r="R594" s="101"/>
      <c r="S594" s="390" t="e">
        <f>+IF($L594&lt;=$N$7,$M594,IF(($F594+($G594/12))&gt;=$N$7,0,((($N594-((($L594-$N$7)*12)*$O594))))))</f>
        <v>#REF!</v>
      </c>
      <c r="T594" s="19" t="e">
        <f>+IF(Q594=0,S594,S594+Q594)</f>
        <v>#REF!</v>
      </c>
      <c r="U594" s="19" t="e">
        <f>+M594-T594</f>
        <v>#REF!</v>
      </c>
      <c r="W594" s="39"/>
      <c r="X594" s="39"/>
    </row>
    <row r="595" spans="1:24">
      <c r="A595" s="391"/>
      <c r="B595" s="391"/>
      <c r="C595" s="392"/>
      <c r="D595" s="391"/>
      <c r="E595" s="393" t="s">
        <v>505</v>
      </c>
      <c r="F595" s="391">
        <v>2020</v>
      </c>
      <c r="G595" s="392">
        <v>12</v>
      </c>
      <c r="H595" s="394">
        <v>0</v>
      </c>
      <c r="I595" s="395" t="s">
        <v>86</v>
      </c>
      <c r="J595" s="392">
        <v>3</v>
      </c>
      <c r="K595" s="396">
        <f t="shared" ref="K595" si="392">F595+J595</f>
        <v>2023</v>
      </c>
      <c r="L595" s="50">
        <f>+K595+(G595/12)</f>
        <v>2024</v>
      </c>
      <c r="M595" s="51" t="e">
        <f>'Depreciation - Orig.'!N74-Depreciation!#REF!</f>
        <v>#REF!</v>
      </c>
      <c r="N595" s="52" t="e">
        <f t="shared" ref="N595" si="393">M595-M595*H595</f>
        <v>#REF!</v>
      </c>
      <c r="O595" s="52" t="e">
        <f t="shared" ref="O595" si="394">N595/J595/12</f>
        <v>#REF!</v>
      </c>
      <c r="P595" s="52" t="e">
        <f>+O595*12</f>
        <v>#REF!</v>
      </c>
      <c r="Q595" s="389">
        <f>+IF(L595&gt;$N$6,P595,0)</f>
        <v>0</v>
      </c>
      <c r="R595" s="101"/>
      <c r="S595" s="390" t="e">
        <f>+IF($L595&lt;=$N$7,$M595,IF(($F595+($G595/12))&gt;=$N$7,0,((($N595-((($L595-$N$7)*12)*$O595))))))</f>
        <v>#REF!</v>
      </c>
      <c r="T595" s="19" t="e">
        <f>+IF(Q595=0,S595,S595+Q595)</f>
        <v>#REF!</v>
      </c>
      <c r="U595" s="19" t="e">
        <f>+M595-T595</f>
        <v>#REF!</v>
      </c>
      <c r="W595" s="39"/>
      <c r="X595" s="39"/>
    </row>
    <row r="596" spans="1:24">
      <c r="A596" s="391"/>
      <c r="B596" s="391"/>
      <c r="C596" s="392"/>
      <c r="D596" s="391"/>
      <c r="E596" s="393"/>
      <c r="F596" s="391"/>
      <c r="G596" s="392"/>
      <c r="H596" s="394"/>
      <c r="I596" s="395"/>
      <c r="J596" s="392"/>
      <c r="K596" s="396"/>
      <c r="L596" s="50"/>
      <c r="M596" s="51"/>
      <c r="N596" s="52"/>
      <c r="O596" s="52"/>
      <c r="P596" s="52"/>
      <c r="Q596" s="389"/>
      <c r="R596" s="101"/>
      <c r="S596" s="390"/>
      <c r="T596" s="19"/>
      <c r="U596" s="19"/>
      <c r="W596" s="39"/>
      <c r="X596" s="39"/>
    </row>
    <row r="597" spans="1:24">
      <c r="E597" s="441" t="s">
        <v>1978</v>
      </c>
    </row>
    <row r="598" spans="1:24">
      <c r="C598" s="364" t="s">
        <v>132</v>
      </c>
      <c r="D598" s="15">
        <v>26</v>
      </c>
      <c r="E598" s="385" t="s">
        <v>136</v>
      </c>
      <c r="F598" s="15">
        <v>2008</v>
      </c>
      <c r="G598" s="364">
        <v>8</v>
      </c>
      <c r="H598" s="386">
        <v>0</v>
      </c>
      <c r="I598" s="387" t="s">
        <v>86</v>
      </c>
      <c r="J598" s="364">
        <v>5</v>
      </c>
      <c r="K598" s="388">
        <f>F598+J598</f>
        <v>2013</v>
      </c>
      <c r="L598" s="21">
        <f>+K598+(G598/12)</f>
        <v>2013.6666666666667</v>
      </c>
      <c r="M598" s="20">
        <f>'Depreciation - Orig.'!P93</f>
        <v>53603.102100000004</v>
      </c>
      <c r="N598" s="19">
        <f>M598-M598*H598</f>
        <v>53603.102100000004</v>
      </c>
      <c r="O598" s="19">
        <f>N598/J598/12</f>
        <v>893.38503500000013</v>
      </c>
      <c r="P598" s="19">
        <f>+O598*12</f>
        <v>10720.620420000001</v>
      </c>
      <c r="Q598" s="419">
        <f>+IF(L598&gt;$N$6,P598,0)</f>
        <v>0</v>
      </c>
      <c r="R598" s="101"/>
      <c r="S598" s="390">
        <f>+IF($L598&lt;=$N$7,$M598,IF(($F598+($G598/12))&gt;=$N$7,0,((($N598-((($L598-$N$7)*12)*$O598))))))</f>
        <v>53603.102100000004</v>
      </c>
      <c r="T598" s="19">
        <f>IF(L598&lt;=$N$6,M598,Q598+S598)</f>
        <v>53603.102100000004</v>
      </c>
      <c r="U598" s="19">
        <f>+M598-T598</f>
        <v>0</v>
      </c>
    </row>
    <row r="599" spans="1:24">
      <c r="A599" s="391"/>
      <c r="B599" s="391"/>
      <c r="C599" s="392"/>
      <c r="D599" s="391"/>
      <c r="E599" s="393" t="s">
        <v>513</v>
      </c>
      <c r="F599" s="391">
        <v>2020</v>
      </c>
      <c r="G599" s="392">
        <v>12</v>
      </c>
      <c r="H599" s="394">
        <v>0</v>
      </c>
      <c r="I599" s="395" t="s">
        <v>86</v>
      </c>
      <c r="J599" s="392">
        <v>3</v>
      </c>
      <c r="K599" s="396">
        <f>F599+J599</f>
        <v>2023</v>
      </c>
      <c r="L599" s="50">
        <f>+K599+(G599/12)</f>
        <v>2024</v>
      </c>
      <c r="M599" s="51">
        <f>'Depreciation - Orig.'!N93-Depreciation!M598</f>
        <v>26401.527900000001</v>
      </c>
      <c r="N599" s="52">
        <f>M599-M599*H599</f>
        <v>26401.527900000001</v>
      </c>
      <c r="O599" s="52">
        <f>N599/J599/12</f>
        <v>733.37577499999998</v>
      </c>
      <c r="P599" s="52">
        <f>+O599*12</f>
        <v>8800.5092999999997</v>
      </c>
      <c r="Q599" s="389">
        <f>+IF(L599&gt;$N$6,P599,0)</f>
        <v>0</v>
      </c>
      <c r="R599" s="101"/>
      <c r="S599" s="390">
        <f>+IF($L599&lt;=$N$7,$M599,IF(($F599+($G599/12))&gt;=$N$7,0,((($N599-((($L599-$N$7)*12)*$O599))))))</f>
        <v>19801.145925000001</v>
      </c>
      <c r="T599" s="19">
        <f>IF(L599&lt;=$N$6,M599,Q599+S599)</f>
        <v>26401.527900000001</v>
      </c>
      <c r="U599" s="19">
        <f>+M599-T599</f>
        <v>0</v>
      </c>
      <c r="W599" s="39"/>
      <c r="X599" s="39"/>
    </row>
  </sheetData>
  <autoFilter ref="A10:W579" xr:uid="{00000000-0001-0000-0100-000000000000}"/>
  <mergeCells count="1">
    <mergeCell ref="A3:B3"/>
  </mergeCells>
  <pageMargins left="0.5" right="0.5" top="0.5" bottom="0.55000000000000004" header="0.5" footer="0.5"/>
  <pageSetup scale="65" orientation="landscape" r:id="rId1"/>
  <headerFooter alignWithMargins="0"/>
  <rowBreaks count="4" manualBreakCount="4">
    <brk id="156" min="2" max="29" man="1"/>
    <brk id="214" min="2" max="29" man="1"/>
    <brk id="382" min="2" max="29" man="1"/>
    <brk id="480" min="2" max="29" man="1"/>
  </rowBreaks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r:id="rId5">
            <anchor moveWithCells="1">
              <from>
                <xdr:col>2</xdr:col>
                <xdr:colOff>104775</xdr:colOff>
                <xdr:row>7</xdr:row>
                <xdr:rowOff>0</xdr:rowOff>
              </from>
              <to>
                <xdr:col>2</xdr:col>
                <xdr:colOff>180975</xdr:colOff>
                <xdr:row>7</xdr:row>
                <xdr:rowOff>76200</xdr:rowOff>
              </to>
            </anchor>
          </controlPr>
        </control>
      </mc:Choice>
      <mc:Fallback>
        <control shapeId="5121" r:id="rId4" name="CheckBox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BBEA-B2C3-4530-A3B7-EF3E1ACDB8DC}">
  <dimension ref="A1:BJ72"/>
  <sheetViews>
    <sheetView showGridLines="0" topLeftCell="D23" zoomScale="85" zoomScaleNormal="85" workbookViewId="0">
      <selection activeCell="BM34" sqref="BM34"/>
    </sheetView>
  </sheetViews>
  <sheetFormatPr defaultRowHeight="15" outlineLevelRow="1" outlineLevelCol="1"/>
  <cols>
    <col min="1" max="1" width="17.28515625" hidden="1" customWidth="1" outlineLevel="1"/>
    <col min="2" max="3" width="26" hidden="1" customWidth="1" outlineLevel="1"/>
    <col min="4" max="4" width="26.28515625" bestFit="1" customWidth="1" collapsed="1"/>
    <col min="5" max="5" width="10.5703125" customWidth="1"/>
    <col min="6" max="6" width="40.7109375" bestFit="1" customWidth="1"/>
    <col min="7" max="7" width="10.5703125" bestFit="1" customWidth="1"/>
    <col min="8" max="8" width="33.28515625" bestFit="1" customWidth="1"/>
    <col min="9" max="9" width="26.85546875" bestFit="1" customWidth="1"/>
    <col min="10" max="10" width="43" bestFit="1" customWidth="1" outlineLevel="1"/>
    <col min="11" max="11" width="45.7109375" customWidth="1" outlineLevel="1"/>
    <col min="12" max="12" width="14" bestFit="1" customWidth="1"/>
    <col min="13" max="13" width="23.5703125" customWidth="1"/>
    <col min="14" max="14" width="14" bestFit="1" customWidth="1"/>
    <col min="15" max="15" width="8.5703125" bestFit="1" customWidth="1"/>
    <col min="16" max="16" width="12.140625" bestFit="1" customWidth="1"/>
    <col min="17" max="17" width="10" bestFit="1" customWidth="1"/>
    <col min="18" max="18" width="6.7109375" customWidth="1"/>
    <col min="19" max="19" width="10.5703125" customWidth="1" outlineLevel="1"/>
    <col min="20" max="20" width="8.5703125" bestFit="1" customWidth="1" outlineLevel="1"/>
    <col min="21" max="21" width="9.140625" bestFit="1" customWidth="1" outlineLevel="1"/>
    <col min="22" max="23" width="11.5703125" bestFit="1" customWidth="1" outlineLevel="1"/>
    <col min="24" max="24" width="11.140625" bestFit="1" customWidth="1" outlineLevel="1"/>
    <col min="25" max="26" width="9" bestFit="1" customWidth="1" outlineLevel="1"/>
    <col min="27" max="27" width="8.5703125" bestFit="1" customWidth="1" outlineLevel="1"/>
    <col min="28" max="28" width="9" bestFit="1" customWidth="1" outlineLevel="1"/>
    <col min="29" max="30" width="8.5703125" bestFit="1" customWidth="1" outlineLevel="1"/>
    <col min="31" max="31" width="0.7109375" customWidth="1" outlineLevel="1"/>
    <col min="32" max="32" width="10.5703125" bestFit="1" customWidth="1"/>
    <col min="33" max="33" width="0.85546875" customWidth="1"/>
    <col min="34" max="34" width="8.5703125" bestFit="1" customWidth="1" outlineLevel="1"/>
    <col min="35" max="35" width="12" customWidth="1" outlineLevel="1"/>
    <col min="36" max="36" width="54.7109375" customWidth="1" outlineLevel="1"/>
    <col min="37" max="37" width="15.42578125" bestFit="1" customWidth="1" outlineLevel="1"/>
    <col min="38" max="38" width="21.28515625" bestFit="1" customWidth="1" outlineLevel="1"/>
    <col min="39" max="39" width="2.7109375" customWidth="1"/>
    <col min="40" max="40" width="21.85546875" bestFit="1" customWidth="1"/>
    <col min="41" max="41" width="3" bestFit="1" customWidth="1"/>
    <col min="42" max="42" width="16" bestFit="1" customWidth="1"/>
    <col min="44" max="44" width="27" bestFit="1" customWidth="1"/>
    <col min="45" max="45" width="44" bestFit="1" customWidth="1"/>
    <col min="46" max="46" width="6.85546875" customWidth="1"/>
    <col min="47" max="47" width="1.42578125" customWidth="1"/>
    <col min="48" max="48" width="7.7109375" bestFit="1" customWidth="1"/>
    <col min="49" max="49" width="6.5703125" bestFit="1" customWidth="1"/>
    <col min="50" max="50" width="1.28515625" customWidth="1"/>
    <col min="51" max="52" width="19.5703125" bestFit="1" customWidth="1"/>
    <col min="53" max="53" width="5.5703125" bestFit="1" customWidth="1"/>
    <col min="54" max="54" width="1.42578125" customWidth="1"/>
    <col min="55" max="55" width="11.5703125" bestFit="1" customWidth="1"/>
    <col min="56" max="56" width="8.28515625" bestFit="1" customWidth="1"/>
    <col min="57" max="57" width="9.7109375" bestFit="1" customWidth="1"/>
    <col min="58" max="58" width="9.28515625" bestFit="1" customWidth="1"/>
    <col min="59" max="59" width="6.5703125" bestFit="1" customWidth="1"/>
  </cols>
  <sheetData>
    <row r="1" spans="1:59" s="166" customFormat="1" hidden="1" outlineLevel="1">
      <c r="D1" s="166" t="s">
        <v>1850</v>
      </c>
      <c r="AU1"/>
      <c r="AX1"/>
      <c r="BB1"/>
    </row>
    <row r="2" spans="1:59" hidden="1" outlineLevel="1">
      <c r="C2" s="167"/>
      <c r="D2" s="168"/>
      <c r="E2" s="167"/>
      <c r="F2" s="167"/>
      <c r="G2" s="167"/>
      <c r="H2" s="167"/>
      <c r="I2" s="169"/>
      <c r="J2" s="169"/>
      <c r="K2" s="169"/>
      <c r="M2" s="167"/>
      <c r="N2" s="167"/>
      <c r="O2" s="167"/>
      <c r="P2" s="167"/>
      <c r="Q2" s="167"/>
      <c r="R2" s="167" t="s">
        <v>1851</v>
      </c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H2" s="167"/>
      <c r="AI2" s="167"/>
      <c r="AJ2" s="167"/>
      <c r="AK2" s="167"/>
      <c r="AL2" s="167"/>
      <c r="AN2" s="167"/>
      <c r="AP2" s="167"/>
    </row>
    <row r="3" spans="1:59" hidden="1" outlineLevel="1">
      <c r="A3" t="s">
        <v>1852</v>
      </c>
      <c r="B3" t="s">
        <v>1853</v>
      </c>
      <c r="C3" s="167" t="s">
        <v>1854</v>
      </c>
      <c r="D3" s="168"/>
      <c r="E3" s="167" t="s">
        <v>1855</v>
      </c>
      <c r="F3" s="167" t="s">
        <v>1946</v>
      </c>
      <c r="G3" s="167" t="s">
        <v>1856</v>
      </c>
      <c r="H3" s="167" t="s">
        <v>1857</v>
      </c>
      <c r="I3" s="169" t="s">
        <v>1858</v>
      </c>
      <c r="J3" s="169" t="s">
        <v>1859</v>
      </c>
      <c r="K3" s="169" t="s">
        <v>1860</v>
      </c>
      <c r="M3" s="167" t="s">
        <v>1577</v>
      </c>
      <c r="N3" s="167" t="s">
        <v>1861</v>
      </c>
      <c r="O3" s="167" t="s">
        <v>1862</v>
      </c>
      <c r="P3" s="167" t="s">
        <v>1863</v>
      </c>
      <c r="Q3" s="167" t="s">
        <v>1864</v>
      </c>
      <c r="R3" s="167" t="s">
        <v>1865</v>
      </c>
      <c r="S3" s="167" t="s">
        <v>1866</v>
      </c>
      <c r="T3" s="167" t="s">
        <v>1867</v>
      </c>
      <c r="U3" s="167" t="s">
        <v>1868</v>
      </c>
      <c r="V3" s="167" t="s">
        <v>1869</v>
      </c>
      <c r="W3" s="167" t="s">
        <v>1870</v>
      </c>
      <c r="X3" s="167" t="s">
        <v>1871</v>
      </c>
      <c r="Y3" s="167" t="s">
        <v>1872</v>
      </c>
      <c r="Z3" s="167" t="s">
        <v>1873</v>
      </c>
      <c r="AA3" s="167" t="s">
        <v>1874</v>
      </c>
      <c r="AB3" s="167" t="s">
        <v>1875</v>
      </c>
      <c r="AC3" s="167" t="s">
        <v>1876</v>
      </c>
      <c r="AD3" s="167" t="s">
        <v>1877</v>
      </c>
      <c r="AH3" s="167" t="s">
        <v>1878</v>
      </c>
      <c r="AI3" s="167"/>
      <c r="AJ3" s="167" t="s">
        <v>1879</v>
      </c>
      <c r="AK3" s="167" t="s">
        <v>1880</v>
      </c>
      <c r="AL3" s="167" t="s">
        <v>1881</v>
      </c>
      <c r="AN3" s="167" t="s">
        <v>1882</v>
      </c>
      <c r="AP3" s="167"/>
    </row>
    <row r="4" spans="1:59" hidden="1" outlineLevel="1">
      <c r="C4" t="s">
        <v>1853</v>
      </c>
      <c r="D4" s="168"/>
      <c r="E4" s="167"/>
      <c r="F4" s="167"/>
      <c r="G4" s="167"/>
      <c r="H4" s="167" t="s">
        <v>1857</v>
      </c>
      <c r="I4" s="169"/>
      <c r="J4" s="169"/>
      <c r="K4" s="169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H4" s="167"/>
      <c r="AI4" s="167"/>
      <c r="AJ4" s="167"/>
      <c r="AK4" s="167"/>
      <c r="AL4" s="167"/>
      <c r="AN4" s="167"/>
      <c r="AP4" s="167" t="s">
        <v>1883</v>
      </c>
    </row>
    <row r="5" spans="1:59" s="166" customFormat="1" hidden="1" outlineLevel="1">
      <c r="D5" s="166" t="s">
        <v>1884</v>
      </c>
      <c r="AU5"/>
      <c r="AX5"/>
      <c r="BB5"/>
    </row>
    <row r="6" spans="1:59" hidden="1" outlineLevel="1">
      <c r="A6" t="b">
        <f>IF(AND(C6&lt;&gt;"", B6&lt;&gt;C6),TRUE, FALSE)</f>
        <v>0</v>
      </c>
      <c r="B6" t="str">
        <f>IF(RIGHT("0000"&amp;G6,4)&amp;"-"&amp;H6 &lt;&gt; "0000-", RIGHT("0000"&amp;G6,4)&amp;"-"&amp;H6, "")</f>
        <v/>
      </c>
      <c r="C6" s="170"/>
      <c r="D6" s="171">
        <v>1</v>
      </c>
      <c r="E6" s="172"/>
      <c r="F6" s="173"/>
      <c r="G6" s="173"/>
      <c r="H6" s="174"/>
      <c r="I6" s="175"/>
      <c r="J6" s="175"/>
      <c r="K6" s="175"/>
      <c r="L6" s="176"/>
      <c r="M6" s="177"/>
      <c r="N6" s="177"/>
      <c r="O6" s="178"/>
      <c r="P6" s="179"/>
      <c r="Q6" s="179"/>
      <c r="R6" s="180"/>
      <c r="S6" s="250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181"/>
      <c r="AF6" s="253">
        <f t="shared" ref="AF6" si="0">SUM(S6:AD6)</f>
        <v>0</v>
      </c>
      <c r="AH6" s="178"/>
      <c r="AI6" s="182"/>
      <c r="AJ6" s="183"/>
      <c r="AK6" s="178"/>
      <c r="AL6" s="174"/>
      <c r="AM6" s="254"/>
      <c r="AN6" s="184"/>
      <c r="AO6" s="255" t="s">
        <v>2</v>
      </c>
      <c r="AP6" s="256"/>
      <c r="AQ6" s="254"/>
      <c r="AR6" s="257" t="str">
        <f>IF(R6="", "", R6)</f>
        <v/>
      </c>
      <c r="AS6" s="257" t="str">
        <f>IFERROR(VLOOKUP($AR6,[23]TruckCenterReference!$C$23:$I38,3,FALSE), "")</f>
        <v/>
      </c>
      <c r="AT6" s="185" t="str">
        <f>IF(R6&lt;&gt;"",IF(AS6&lt;&gt;I6,"Review","ok"), "")</f>
        <v/>
      </c>
      <c r="AU6" s="186"/>
      <c r="AV6" s="258" t="str">
        <f>IFERROR(VLOOKUP($AR6,[23]TruckCenterReference!$C$23:$I38,4,FALSE), "")</f>
        <v/>
      </c>
      <c r="AW6" s="185" t="str">
        <f>IF(R6="","", IF($AV6&lt;&gt;$Q6, "Fix!", "OK"))</f>
        <v/>
      </c>
      <c r="AY6" s="257" t="str">
        <f>IFERROR(VLOOKUP(N6,SubtypeToTruckType,2,FALSE),"")</f>
        <v/>
      </c>
      <c r="AZ6" s="187" t="str">
        <f>IFERROR(VLOOKUP($AR6,[23]TruckCenterReference!$C$23:$I38,6,FALSE), "")</f>
        <v/>
      </c>
      <c r="BA6" s="185" t="str">
        <f>IF(R6&lt;&gt;"",IF(AY6&lt;&gt;AZ6,"Fix!","ok"), "")</f>
        <v/>
      </c>
      <c r="BB6" s="186"/>
      <c r="BC6" s="258">
        <f>IFERROR(VLOOKUP($AR6,[23]TruckCenterReference!$C$23:$I38,7,FALSE), 0)</f>
        <v>0</v>
      </c>
      <c r="BD6" s="259">
        <f>IFERROR(VLOOKUP($AR6,[23]TruckCenterReference!$C$23:$K38,9,FALSE), 0)</f>
        <v>0</v>
      </c>
      <c r="BE6" s="258">
        <f>IFERROR(VLOOKUP($AR6,[23]TruckCenterReference!$C$23:$K38,8,FALSE), 0)</f>
        <v>0</v>
      </c>
      <c r="BF6" s="260" t="str">
        <f>IF(BC6&lt;&gt;0,BC6-AF6-BE6,"")</f>
        <v/>
      </c>
      <c r="BG6" s="185" t="str">
        <f>IF(R6="","",IF(ABS(BF6)&gt;3000,IF(RIGHT(N6,4)="Body","Review","Fix!"),"OK"))</f>
        <v/>
      </c>
    </row>
    <row r="7" spans="1:59" s="166" customFormat="1" hidden="1" outlineLevel="1">
      <c r="D7" s="166" t="s">
        <v>1885</v>
      </c>
      <c r="AU7"/>
      <c r="AX7"/>
      <c r="BB7"/>
    </row>
    <row r="8" spans="1:59" s="167" customFormat="1" hidden="1" outlineLevel="1">
      <c r="C8" s="188"/>
      <c r="D8" s="188"/>
      <c r="E8" s="188"/>
      <c r="F8" s="189" t="s">
        <v>1886</v>
      </c>
      <c r="H8" s="188"/>
      <c r="I8" s="188"/>
      <c r="J8" s="188"/>
      <c r="K8" s="188"/>
      <c r="L8" s="188"/>
      <c r="M8" s="188" t="str">
        <f ca="1">_xll.jFreezePanes(J29,D22)</f>
        <v xml:space="preserve">&gt; jFreezePanes is ready. </v>
      </c>
      <c r="N8" s="188"/>
      <c r="O8" s="188"/>
      <c r="AU8"/>
      <c r="AX8"/>
      <c r="BB8"/>
    </row>
    <row r="9" spans="1:59" s="167" customFormat="1" hidden="1" outlineLevel="1">
      <c r="C9" s="188"/>
      <c r="D9" s="188"/>
      <c r="E9" s="190" t="s">
        <v>1887</v>
      </c>
      <c r="F9" s="188" t="str">
        <f ca="1">_xll.ReportDefaults("Pull","Clear",_xll.PairGroup(_xll.Pair("",H18)))</f>
        <v>OK!: ReportDefaults Formula OK [jAction{}]</v>
      </c>
      <c r="H9" s="188"/>
      <c r="I9" s="188"/>
      <c r="J9" s="188"/>
      <c r="K9" s="188"/>
      <c r="L9" s="190" t="s">
        <v>1888</v>
      </c>
      <c r="M9" s="188" t="str">
        <f ca="1">_xll.ReportDrill(,"CCQueryDrill",_xll.PairGroup(_xll.Pair(L18,"SummaryLevel"),_xll.Pair(I24,"BudYear"),_xll.Pair(I23,"DistrictCell"),_xll.Pair(C30:C82,"PONumber"),_xll.Pair(G20:AP20)),"Drill to CC Query for Change History")</f>
        <v>OK!: ReportDrill 'Drill to CC Query for Change History' Formula OK [jAction{}]</v>
      </c>
      <c r="N9" s="188"/>
      <c r="O9" s="188"/>
      <c r="AU9"/>
      <c r="AX9"/>
      <c r="BB9"/>
    </row>
    <row r="10" spans="1:59" s="167" customFormat="1" hidden="1" outlineLevel="1">
      <c r="C10" s="188"/>
      <c r="D10" s="188"/>
      <c r="E10" s="191" t="s">
        <v>1889</v>
      </c>
      <c r="F10" s="167" t="str">
        <f>_xll.ReportRun([23]AssetTypeList!C7,FALSE,"Pull")</f>
        <v>OK!: ReportRun Formula OK [jAction{}]</v>
      </c>
      <c r="I10" s="188"/>
      <c r="J10" s="188"/>
      <c r="K10" s="188"/>
      <c r="L10" s="190"/>
      <c r="M10" s="188"/>
      <c r="N10" s="188"/>
      <c r="O10" s="188"/>
      <c r="AU10"/>
      <c r="AX10"/>
      <c r="BB10"/>
    </row>
    <row r="11" spans="1:59" s="167" customFormat="1" hidden="1" outlineLevel="1">
      <c r="C11" s="188"/>
      <c r="D11" s="188"/>
      <c r="E11" s="190" t="s">
        <v>1890</v>
      </c>
      <c r="F11" s="188" t="str">
        <f ca="1">_xll.ReportRange("BudgetCapitalDetailPull",30:56,C3:BF3,C6:BF6,_xll.Param(I23,I24,H18,O18,L19))</f>
        <v>OK!: ReportRange Formula OK [jAction{}]</v>
      </c>
      <c r="H11" s="188"/>
      <c r="I11" s="188"/>
      <c r="J11" s="188"/>
      <c r="N11" s="188"/>
      <c r="O11" s="188"/>
      <c r="AH11" s="167" t="s">
        <v>1878</v>
      </c>
      <c r="AI11" s="167" t="s">
        <v>1891</v>
      </c>
      <c r="AU11"/>
      <c r="AX11"/>
      <c r="BB11"/>
    </row>
    <row r="12" spans="1:59" s="167" customFormat="1" hidden="1" outlineLevel="1">
      <c r="C12" s="188"/>
      <c r="D12" s="188"/>
      <c r="E12" s="190" t="s">
        <v>1892</v>
      </c>
      <c r="F12" s="192" t="str">
        <f ca="1">_xll.ReportFixed("BudCap1",AH30:AH56,AH11:AI11,_xll.Param(DetailBudYear, DetailDistrict))</f>
        <v>OK!: ReportFixed Formula OK [jAction{}]</v>
      </c>
      <c r="H12" s="188"/>
      <c r="I12" s="188"/>
      <c r="J12" s="192"/>
      <c r="N12" s="188"/>
      <c r="O12" s="188"/>
      <c r="AU12"/>
      <c r="AX12"/>
      <c r="BB12"/>
    </row>
    <row r="13" spans="1:59" s="167" customFormat="1" hidden="1" outlineLevel="1">
      <c r="C13" s="188"/>
      <c r="D13" s="188"/>
      <c r="E13" s="190"/>
      <c r="F13" s="192" t="str">
        <f>_xll.ReportRun([23]TruckCenterReference!F16,,"Pull")</f>
        <v>OK!: ReportRun Formula OK [jAction{}]</v>
      </c>
      <c r="H13" s="188"/>
      <c r="I13" s="188"/>
      <c r="J13" s="192"/>
      <c r="N13" s="188"/>
      <c r="O13" s="188"/>
      <c r="AU13"/>
      <c r="AX13"/>
      <c r="BB13"/>
    </row>
    <row r="14" spans="1:59" s="167" customFormat="1" hidden="1" outlineLevel="1">
      <c r="C14" s="188"/>
      <c r="D14" s="188"/>
      <c r="E14" s="193"/>
      <c r="F14" s="189" t="s">
        <v>1893</v>
      </c>
      <c r="H14" s="188"/>
      <c r="I14" s="188"/>
      <c r="J14" s="188"/>
      <c r="K14" s="188"/>
      <c r="L14" s="190"/>
      <c r="M14" s="188"/>
      <c r="N14" s="188"/>
      <c r="O14" s="188"/>
      <c r="AU14"/>
      <c r="AX14"/>
      <c r="BB14"/>
    </row>
    <row r="15" spans="1:59" s="167" customFormat="1" hidden="1" outlineLevel="1">
      <c r="C15" s="188"/>
      <c r="D15" s="188"/>
      <c r="E15" s="190" t="s">
        <v>1894</v>
      </c>
      <c r="F15" s="188" t="str">
        <f ca="1">_xll.ReportSave("BudgetCapitalDetailSave",F30:F56,A3:AN3,C4:AP4,_xll.Param(I23,I24,H18,O18))</f>
        <v>OK!: ReportSave Formula OK [jAction{}]</v>
      </c>
      <c r="H15" s="188"/>
      <c r="I15" s="188"/>
      <c r="J15" s="188"/>
      <c r="K15" s="188"/>
      <c r="L15" s="188"/>
      <c r="M15" s="188"/>
      <c r="N15" s="188"/>
      <c r="O15" s="188"/>
      <c r="AU15"/>
      <c r="AX15"/>
      <c r="BB15"/>
    </row>
    <row r="16" spans="1:59" s="167" customFormat="1" hidden="1" outlineLevel="1">
      <c r="AU16"/>
      <c r="AX16"/>
      <c r="BB16"/>
    </row>
    <row r="17" spans="1:61" s="166" customFormat="1" hidden="1" outlineLevel="1">
      <c r="D17" s="166" t="s">
        <v>1895</v>
      </c>
      <c r="N17" s="194"/>
      <c r="AU17"/>
      <c r="AX17"/>
      <c r="BB17"/>
    </row>
    <row r="18" spans="1:61" s="168" customFormat="1" hidden="1" outlineLevel="1">
      <c r="A18" s="195" t="s">
        <v>1896</v>
      </c>
      <c r="B18" s="196" t="b">
        <f>IFERROR(OR(A30:A56),FALSE)</f>
        <v>0</v>
      </c>
      <c r="G18" s="191" t="s">
        <v>1897</v>
      </c>
      <c r="H18" s="197" t="s">
        <v>1947</v>
      </c>
      <c r="K18" s="191" t="s">
        <v>1898</v>
      </c>
      <c r="L18" s="197" t="s">
        <v>1899</v>
      </c>
      <c r="M18" s="197"/>
      <c r="N18" s="191" t="s">
        <v>1900</v>
      </c>
      <c r="O18" s="197">
        <v>2</v>
      </c>
      <c r="AU18"/>
      <c r="AX18"/>
      <c r="BB18"/>
    </row>
    <row r="19" spans="1:61" s="168" customFormat="1" hidden="1" outlineLevel="1">
      <c r="A19" s="195"/>
      <c r="B19" s="196" t="str">
        <f>IF(B18=TRUE,"Save","SkipRePull")</f>
        <v>SkipRePull</v>
      </c>
      <c r="J19" s="188"/>
      <c r="K19" s="190" t="s">
        <v>1901</v>
      </c>
      <c r="L19" s="197" t="s">
        <v>1902</v>
      </c>
      <c r="M19" s="197"/>
      <c r="N19" s="191"/>
      <c r="O19" s="191"/>
      <c r="AU19"/>
      <c r="AX19"/>
      <c r="BB19"/>
    </row>
    <row r="20" spans="1:61" s="167" customFormat="1" hidden="1" outlineLevel="1">
      <c r="G20" s="167" t="s">
        <v>1903</v>
      </c>
      <c r="H20" s="167" t="s">
        <v>1903</v>
      </c>
      <c r="I20" s="167" t="s">
        <v>1903</v>
      </c>
      <c r="J20" s="167" t="s">
        <v>1903</v>
      </c>
      <c r="K20" s="167" t="s">
        <v>1903</v>
      </c>
      <c r="L20" s="191"/>
      <c r="M20" s="167" t="s">
        <v>1903</v>
      </c>
      <c r="N20" s="167" t="s">
        <v>1903</v>
      </c>
      <c r="O20" s="167" t="s">
        <v>1903</v>
      </c>
      <c r="P20" s="167" t="s">
        <v>1903</v>
      </c>
      <c r="Q20" s="167" t="s">
        <v>1903</v>
      </c>
      <c r="R20" s="167" t="s">
        <v>1903</v>
      </c>
      <c r="S20" s="167" t="s">
        <v>1903</v>
      </c>
      <c r="T20" s="167" t="s">
        <v>1903</v>
      </c>
      <c r="U20" s="167" t="s">
        <v>1903</v>
      </c>
      <c r="V20" s="167" t="s">
        <v>1903</v>
      </c>
      <c r="W20" s="167" t="s">
        <v>1903</v>
      </c>
      <c r="X20" s="167" t="s">
        <v>1903</v>
      </c>
      <c r="Y20" s="167" t="s">
        <v>1903</v>
      </c>
      <c r="Z20" s="167" t="s">
        <v>1903</v>
      </c>
      <c r="AA20" s="167" t="s">
        <v>1903</v>
      </c>
      <c r="AB20" s="167" t="s">
        <v>1903</v>
      </c>
      <c r="AC20" s="167" t="s">
        <v>1903</v>
      </c>
      <c r="AD20" s="167" t="s">
        <v>1903</v>
      </c>
      <c r="AF20" s="167" t="s">
        <v>1903</v>
      </c>
      <c r="AH20" s="167" t="s">
        <v>1903</v>
      </c>
      <c r="AK20" s="167" t="s">
        <v>1903</v>
      </c>
      <c r="AL20" s="167" t="s">
        <v>1903</v>
      </c>
      <c r="AN20" s="167" t="s">
        <v>1903</v>
      </c>
      <c r="AP20" s="167" t="s">
        <v>1903</v>
      </c>
      <c r="AU20"/>
      <c r="AX20"/>
      <c r="BB20"/>
    </row>
    <row r="21" spans="1:61" s="166" customFormat="1" hidden="1" outlineLevel="1">
      <c r="D21" s="166" t="s">
        <v>1904</v>
      </c>
      <c r="AU21"/>
      <c r="AX21"/>
      <c r="BB21"/>
    </row>
    <row r="22" spans="1:61" hidden="1" outlineLevel="1"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81"/>
      <c r="P22" s="181"/>
      <c r="Q22" s="181"/>
      <c r="R22" s="181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H22" s="181"/>
      <c r="AI22" s="181"/>
      <c r="AJ22" s="181"/>
      <c r="AK22" s="181"/>
      <c r="AL22" s="181"/>
      <c r="AN22" s="181"/>
    </row>
    <row r="23" spans="1:61" ht="15.75" collapsed="1">
      <c r="E23" s="199"/>
      <c r="F23" s="199"/>
      <c r="G23" s="200"/>
      <c r="H23" s="201" t="s">
        <v>1948</v>
      </c>
      <c r="I23" s="261" t="s">
        <v>1448</v>
      </c>
      <c r="J23" s="202"/>
      <c r="L23" s="203"/>
      <c r="N23" s="204"/>
      <c r="O23" s="181"/>
      <c r="P23" s="181"/>
      <c r="Q23" s="181"/>
      <c r="R23" s="181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205"/>
      <c r="AH23" s="181"/>
      <c r="AI23" s="181"/>
      <c r="AJ23" s="181"/>
      <c r="AK23" s="181"/>
      <c r="AL23" s="181"/>
      <c r="AN23" s="181"/>
    </row>
    <row r="24" spans="1:61" ht="15.75">
      <c r="E24" s="206"/>
      <c r="F24" s="206"/>
      <c r="G24" s="207"/>
      <c r="H24" s="208" t="s">
        <v>1905</v>
      </c>
      <c r="I24" s="209">
        <v>2024</v>
      </c>
      <c r="J24" s="210"/>
      <c r="K24" s="210"/>
      <c r="L24" s="203"/>
      <c r="M24" s="211"/>
      <c r="N24" s="204"/>
      <c r="O24" s="181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H24" s="181"/>
      <c r="AI24" s="181"/>
      <c r="AJ24" s="181"/>
      <c r="AK24" s="181"/>
      <c r="AL24" s="181"/>
      <c r="AN24" s="181"/>
    </row>
    <row r="25" spans="1:61">
      <c r="E25" s="212"/>
      <c r="F25" s="212"/>
      <c r="G25" s="212"/>
      <c r="H25" s="212"/>
      <c r="I25" s="198"/>
      <c r="J25" s="198"/>
      <c r="K25" s="198"/>
      <c r="L25" s="198"/>
      <c r="M25" s="211" t="s">
        <v>1949</v>
      </c>
      <c r="N25" s="198"/>
      <c r="O25" s="181"/>
      <c r="P25" s="181"/>
      <c r="Q25" s="181"/>
      <c r="R25" s="181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H25" s="181"/>
      <c r="AI25" s="181"/>
      <c r="AJ25" s="181"/>
      <c r="AK25" s="181"/>
      <c r="AL25" s="181"/>
      <c r="AN25" s="181"/>
      <c r="AR25" s="213" t="s">
        <v>1950</v>
      </c>
      <c r="AS25" s="213"/>
      <c r="AY25" s="213"/>
    </row>
    <row r="26" spans="1:61" ht="15.75">
      <c r="E26" s="214" t="s">
        <v>1906</v>
      </c>
      <c r="F26" s="214"/>
      <c r="G26" s="215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7"/>
      <c r="AR26" s="218"/>
      <c r="AS26" s="218"/>
      <c r="AT26" s="218"/>
      <c r="AV26" s="218"/>
      <c r="AW26" s="218"/>
      <c r="AY26" s="218"/>
      <c r="AZ26" s="218"/>
      <c r="BA26" s="218"/>
      <c r="BC26" s="218"/>
      <c r="BD26" s="218"/>
      <c r="BE26" s="218"/>
      <c r="BF26" s="218"/>
      <c r="BG26" s="218"/>
    </row>
    <row r="27" spans="1:61"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20"/>
      <c r="P27" s="220"/>
      <c r="Q27" s="220"/>
      <c r="R27" s="220"/>
      <c r="S27" s="221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181"/>
      <c r="AG27" s="222" t="s">
        <v>1907</v>
      </c>
      <c r="AH27" s="223"/>
      <c r="AI27" s="223"/>
      <c r="AJ27" s="223"/>
      <c r="AK27" s="223"/>
      <c r="AL27" s="223"/>
      <c r="AR27" s="224"/>
      <c r="AS27" s="225" t="s">
        <v>1908</v>
      </c>
      <c r="AT27" s="226"/>
      <c r="AV27" s="226" t="s">
        <v>1909</v>
      </c>
      <c r="AW27" s="226"/>
      <c r="AY27" s="226" t="s">
        <v>1910</v>
      </c>
      <c r="AZ27" s="226" t="s">
        <v>1910</v>
      </c>
      <c r="BA27" s="226"/>
      <c r="BC27" s="226" t="s">
        <v>1911</v>
      </c>
      <c r="BD27" s="226"/>
      <c r="BE27" s="226"/>
      <c r="BF27" s="224"/>
      <c r="BG27" s="226"/>
    </row>
    <row r="28" spans="1:61" ht="27" thickBot="1">
      <c r="E28" s="227" t="s">
        <v>1912</v>
      </c>
      <c r="F28" s="227" t="s">
        <v>1639</v>
      </c>
      <c r="G28" s="227" t="s">
        <v>1913</v>
      </c>
      <c r="H28" s="227" t="s">
        <v>1951</v>
      </c>
      <c r="I28" s="228" t="s">
        <v>1914</v>
      </c>
      <c r="J28" s="228" t="s">
        <v>1915</v>
      </c>
      <c r="K28" s="228" t="s">
        <v>1916</v>
      </c>
      <c r="L28" s="227"/>
      <c r="M28" s="227" t="s">
        <v>1578</v>
      </c>
      <c r="N28" s="227" t="s">
        <v>1917</v>
      </c>
      <c r="O28" s="227" t="s">
        <v>1862</v>
      </c>
      <c r="P28" s="227" t="s">
        <v>1918</v>
      </c>
      <c r="Q28" s="227" t="s">
        <v>1919</v>
      </c>
      <c r="R28" s="227" t="s">
        <v>580</v>
      </c>
      <c r="S28" s="229">
        <v>40209</v>
      </c>
      <c r="T28" s="230">
        <v>40237</v>
      </c>
      <c r="U28" s="231">
        <v>40268</v>
      </c>
      <c r="V28" s="229">
        <v>40298</v>
      </c>
      <c r="W28" s="230">
        <v>40329</v>
      </c>
      <c r="X28" s="231">
        <v>40359</v>
      </c>
      <c r="Y28" s="229">
        <v>40390</v>
      </c>
      <c r="Z28" s="230">
        <v>40421</v>
      </c>
      <c r="AA28" s="231">
        <v>40451</v>
      </c>
      <c r="AB28" s="229">
        <v>40482</v>
      </c>
      <c r="AC28" s="230">
        <v>40512</v>
      </c>
      <c r="AD28" s="231">
        <v>40543</v>
      </c>
      <c r="AE28" s="220"/>
      <c r="AF28" s="232" t="s">
        <v>25</v>
      </c>
      <c r="AG28" s="262"/>
      <c r="AH28" s="227" t="s">
        <v>1920</v>
      </c>
      <c r="AI28" s="227" t="s">
        <v>1921</v>
      </c>
      <c r="AJ28" s="227" t="s">
        <v>1922</v>
      </c>
      <c r="AK28" s="227" t="s">
        <v>1923</v>
      </c>
      <c r="AL28" s="227" t="s">
        <v>1447</v>
      </c>
      <c r="AM28" s="234"/>
      <c r="AN28" s="227" t="s">
        <v>1924</v>
      </c>
      <c r="AO28" s="234"/>
      <c r="AP28" s="227" t="s">
        <v>1925</v>
      </c>
      <c r="AQ28" s="234"/>
      <c r="AR28" s="225" t="s">
        <v>580</v>
      </c>
      <c r="AS28" s="225" t="s">
        <v>1926</v>
      </c>
      <c r="AT28" s="225" t="s">
        <v>1927</v>
      </c>
      <c r="AV28" s="225" t="s">
        <v>1952</v>
      </c>
      <c r="AW28" s="225" t="s">
        <v>1928</v>
      </c>
      <c r="AY28" s="225" t="s">
        <v>1929</v>
      </c>
      <c r="AZ28" s="225" t="s">
        <v>1952</v>
      </c>
      <c r="BA28" s="225" t="s">
        <v>1927</v>
      </c>
      <c r="BC28" s="225" t="s">
        <v>1953</v>
      </c>
      <c r="BD28" s="225" t="s">
        <v>1954</v>
      </c>
      <c r="BE28" s="225" t="s">
        <v>1955</v>
      </c>
      <c r="BF28" s="225" t="s">
        <v>1930</v>
      </c>
      <c r="BG28" s="225" t="s">
        <v>1928</v>
      </c>
      <c r="BI28" s="225" t="s">
        <v>1980</v>
      </c>
    </row>
    <row r="29" spans="1:61"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81"/>
      <c r="P29" s="181"/>
      <c r="Q29" s="181"/>
      <c r="R29" s="181"/>
      <c r="S29" s="235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236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237"/>
      <c r="AY29" s="237"/>
    </row>
    <row r="30" spans="1:61" ht="25.5">
      <c r="A30" t="b">
        <f t="shared" ref="A30:A55" si="1">IF(AND(C30&lt;&gt;"", B30&lt;&gt;C30),TRUE, FALSE)</f>
        <v>0</v>
      </c>
      <c r="B30" t="str">
        <f t="shared" ref="B30:B55" si="2">IF(RIGHT("0000"&amp;G30,4)&amp;"-"&amp;H30 &lt;&gt; "0000-", RIGHT("0000"&amp;G30,4)&amp;"-"&amp;H30, "")</f>
        <v>0001-1</v>
      </c>
      <c r="C30" s="170" t="s">
        <v>1931</v>
      </c>
      <c r="D30" s="171">
        <v>1</v>
      </c>
      <c r="E30" s="172"/>
      <c r="F30" s="173">
        <v>2149</v>
      </c>
      <c r="G30" s="173">
        <v>1</v>
      </c>
      <c r="H30" s="174">
        <v>1</v>
      </c>
      <c r="I30" s="175" t="s">
        <v>1938</v>
      </c>
      <c r="J30" s="175" t="s">
        <v>1938</v>
      </c>
      <c r="K30" s="175" t="s">
        <v>1956</v>
      </c>
      <c r="L30" s="176"/>
      <c r="M30" s="177" t="s">
        <v>16</v>
      </c>
      <c r="N30" s="177" t="s">
        <v>1939</v>
      </c>
      <c r="O30" s="178">
        <v>7</v>
      </c>
      <c r="P30" s="179" t="s">
        <v>132</v>
      </c>
      <c r="Q30" s="179" t="s">
        <v>1934</v>
      </c>
      <c r="R30" s="180"/>
      <c r="S30" s="250">
        <v>0</v>
      </c>
      <c r="T30" s="251">
        <v>65000</v>
      </c>
      <c r="U30" s="251">
        <v>0</v>
      </c>
      <c r="V30" s="251">
        <v>0</v>
      </c>
      <c r="W30" s="251">
        <v>65000</v>
      </c>
      <c r="X30" s="251">
        <v>0</v>
      </c>
      <c r="Y30" s="251">
        <v>0</v>
      </c>
      <c r="Z30" s="251">
        <v>65000</v>
      </c>
      <c r="AA30" s="251">
        <v>0</v>
      </c>
      <c r="AB30" s="251">
        <v>65000</v>
      </c>
      <c r="AC30" s="251">
        <v>0</v>
      </c>
      <c r="AD30" s="252">
        <v>0</v>
      </c>
      <c r="AE30" s="181"/>
      <c r="AF30" s="253">
        <f t="shared" ref="AF30:AF55" si="3">SUM(S30:AD30)</f>
        <v>260000</v>
      </c>
      <c r="AH30" s="178"/>
      <c r="AI30" s="264"/>
      <c r="AJ30" s="183" t="s">
        <v>1956</v>
      </c>
      <c r="AK30" s="178"/>
      <c r="AL30" s="174"/>
      <c r="AM30" s="254"/>
      <c r="AN30" s="184"/>
      <c r="AO30" s="255" t="s">
        <v>2</v>
      </c>
      <c r="AP30" s="256"/>
      <c r="AQ30" s="254"/>
      <c r="AR30" s="257" t="str">
        <f t="shared" ref="AR30:AR55" si="4">IF(R30="", "", R30)</f>
        <v/>
      </c>
      <c r="AS30" s="257" t="str">
        <f>IFERROR(VLOOKUP($AR30,[23]TruckCenterReference!$C$23:$I62,3,FALSE), "")</f>
        <v/>
      </c>
      <c r="AT30" s="185" t="str">
        <f t="shared" ref="AT30:AT55" si="5">IF(R30&lt;&gt;"",IF(AS30&lt;&gt;I30,"Review","ok"), "")</f>
        <v/>
      </c>
      <c r="AU30" s="186"/>
      <c r="AV30" s="258" t="str">
        <f>IFERROR(VLOOKUP($AR30,[23]TruckCenterReference!$C$23:$I62,4,FALSE), "")</f>
        <v/>
      </c>
      <c r="AW30" s="185" t="str">
        <f t="shared" ref="AW30:AW55" si="6">IF(R30="","", IF($AV30&lt;&gt;$Q30, "Fix!", "OK"))</f>
        <v/>
      </c>
      <c r="AY30" s="257" t="str">
        <f t="shared" ref="AY30:AY55" si="7">IFERROR(VLOOKUP(N30,SubtypeToTruckType,2,FALSE),"")</f>
        <v/>
      </c>
      <c r="AZ30" s="187" t="str">
        <f>IFERROR(VLOOKUP($AR30,[23]TruckCenterReference!$C$23:$I62,6,FALSE), "")</f>
        <v/>
      </c>
      <c r="BA30" s="185" t="str">
        <f t="shared" ref="BA30:BA55" si="8">IF(R30&lt;&gt;"",IF(AY30&lt;&gt;AZ30,"Fix!","ok"), "")</f>
        <v/>
      </c>
      <c r="BB30" s="186"/>
      <c r="BC30" s="258">
        <f>IFERROR(VLOOKUP($AR30,[23]TruckCenterReference!$C$23:$I62,7,FALSE), 0)</f>
        <v>0</v>
      </c>
      <c r="BD30" s="259">
        <f>IFERROR(VLOOKUP($AR30,[23]TruckCenterReference!$C$23:$K62,9,FALSE), 0)</f>
        <v>0</v>
      </c>
      <c r="BE30" s="258">
        <f>IFERROR(VLOOKUP($AR30,[23]TruckCenterReference!$C$23:$K62,8,FALSE), 0)</f>
        <v>0</v>
      </c>
      <c r="BF30" s="260" t="str">
        <f t="shared" ref="BF30:BF55" si="9">IF(BC30&lt;&gt;0,BC30-AF30-BE30,"")</f>
        <v/>
      </c>
      <c r="BG30" s="185" t="str">
        <f t="shared" ref="BG30:BG55" si="10">IF(R30="","",IF(ABS(BF30)&gt;3000,IF(RIGHT(N30,4)="Body","Review","Fix!"),"OK"))</f>
        <v/>
      </c>
    </row>
    <row r="31" spans="1:61" ht="38.25">
      <c r="A31" t="b">
        <f t="shared" si="1"/>
        <v>0</v>
      </c>
      <c r="B31" t="str">
        <f t="shared" si="2"/>
        <v>0002-1</v>
      </c>
      <c r="C31" s="170" t="s">
        <v>1935</v>
      </c>
      <c r="D31" s="171">
        <v>1</v>
      </c>
      <c r="E31" s="172"/>
      <c r="F31" s="173">
        <v>2149</v>
      </c>
      <c r="G31" s="173">
        <v>2</v>
      </c>
      <c r="H31" s="174">
        <v>1</v>
      </c>
      <c r="I31" s="175" t="s">
        <v>1957</v>
      </c>
      <c r="J31" s="175" t="s">
        <v>1957</v>
      </c>
      <c r="K31" s="175" t="s">
        <v>1958</v>
      </c>
      <c r="L31" s="176"/>
      <c r="M31" s="177" t="s">
        <v>1932</v>
      </c>
      <c r="N31" s="177" t="s">
        <v>1933</v>
      </c>
      <c r="O31" s="178">
        <v>10</v>
      </c>
      <c r="P31" s="179" t="s">
        <v>132</v>
      </c>
      <c r="Q31" s="179" t="s">
        <v>1934</v>
      </c>
      <c r="R31" s="180">
        <v>18547</v>
      </c>
      <c r="S31" s="250">
        <v>0</v>
      </c>
      <c r="T31" s="251">
        <v>0</v>
      </c>
      <c r="U31" s="251">
        <v>487157</v>
      </c>
      <c r="V31" s="251">
        <v>0</v>
      </c>
      <c r="W31" s="251">
        <v>0</v>
      </c>
      <c r="X31" s="251">
        <v>0</v>
      </c>
      <c r="Y31" s="251">
        <v>0</v>
      </c>
      <c r="Z31" s="251">
        <v>0</v>
      </c>
      <c r="AA31" s="251">
        <v>0</v>
      </c>
      <c r="AB31" s="251">
        <v>0</v>
      </c>
      <c r="AC31" s="251">
        <v>0</v>
      </c>
      <c r="AD31" s="252">
        <v>0</v>
      </c>
      <c r="AE31" s="181"/>
      <c r="AF31" s="253">
        <f t="shared" si="3"/>
        <v>487157</v>
      </c>
      <c r="AH31" s="178">
        <v>174774</v>
      </c>
      <c r="AI31" s="264" t="s">
        <v>1236</v>
      </c>
      <c r="AJ31" s="183" t="s">
        <v>1958</v>
      </c>
      <c r="AK31" s="178"/>
      <c r="AL31" s="174">
        <v>2008</v>
      </c>
      <c r="AM31" s="254"/>
      <c r="AN31" s="184"/>
      <c r="AO31" s="255" t="s">
        <v>2</v>
      </c>
      <c r="AP31" s="256"/>
      <c r="AQ31" s="254"/>
      <c r="AR31" s="257">
        <f t="shared" si="4"/>
        <v>18547</v>
      </c>
      <c r="AS31" s="257" t="str">
        <f>IFERROR(VLOOKUP($AR31,[23]TruckCenterReference!$C$23:$I63,3,FALSE), "")</f>
        <v/>
      </c>
      <c r="AT31" s="185" t="str">
        <f t="shared" si="5"/>
        <v>Review</v>
      </c>
      <c r="AU31" s="186"/>
      <c r="AV31" s="258" t="str">
        <f>IFERROR(VLOOKUP($AR31,[23]TruckCenterReference!$C$23:$I63,4,FALSE), "")</f>
        <v/>
      </c>
      <c r="AW31" s="185" t="str">
        <f t="shared" si="6"/>
        <v>Fix!</v>
      </c>
      <c r="AY31" s="257" t="str">
        <f t="shared" si="7"/>
        <v>Automated Sideloader</v>
      </c>
      <c r="AZ31" s="187" t="str">
        <f>IFERROR(VLOOKUP($AR31,[23]TruckCenterReference!$C$23:$I63,6,FALSE), "")</f>
        <v/>
      </c>
      <c r="BA31" s="185" t="str">
        <f t="shared" si="8"/>
        <v>Fix!</v>
      </c>
      <c r="BB31" s="186"/>
      <c r="BC31" s="258">
        <f>IFERROR(VLOOKUP($AR31,[23]TruckCenterReference!$C$23:$I63,7,FALSE), 0)</f>
        <v>0</v>
      </c>
      <c r="BD31" s="259">
        <f>IFERROR(VLOOKUP($AR31,[23]TruckCenterReference!$C$23:$K63,9,FALSE), 0)</f>
        <v>0</v>
      </c>
      <c r="BE31" s="258">
        <f>IFERROR(VLOOKUP($AR31,[23]TruckCenterReference!$C$23:$K63,8,FALSE), 0)</f>
        <v>0</v>
      </c>
      <c r="BF31" s="260" t="str">
        <f t="shared" si="9"/>
        <v/>
      </c>
      <c r="BG31" s="185" t="e">
        <f t="shared" si="10"/>
        <v>#VALUE!</v>
      </c>
      <c r="BI31" s="267" t="s">
        <v>1974</v>
      </c>
    </row>
    <row r="32" spans="1:61" ht="38.25">
      <c r="A32" t="b">
        <f t="shared" si="1"/>
        <v>0</v>
      </c>
      <c r="B32" t="str">
        <f t="shared" si="2"/>
        <v>0003-1</v>
      </c>
      <c r="C32" s="170" t="s">
        <v>1936</v>
      </c>
      <c r="D32" s="171">
        <v>1</v>
      </c>
      <c r="E32" s="172"/>
      <c r="F32" s="173">
        <v>2149</v>
      </c>
      <c r="G32" s="173">
        <v>3</v>
      </c>
      <c r="H32" s="174">
        <v>1</v>
      </c>
      <c r="I32" s="175" t="s">
        <v>1957</v>
      </c>
      <c r="J32" s="175" t="s">
        <v>1957</v>
      </c>
      <c r="K32" s="175" t="s">
        <v>1959</v>
      </c>
      <c r="L32" s="176"/>
      <c r="M32" s="177" t="s">
        <v>1932</v>
      </c>
      <c r="N32" s="177" t="s">
        <v>1933</v>
      </c>
      <c r="O32" s="178">
        <v>10</v>
      </c>
      <c r="P32" s="179" t="s">
        <v>132</v>
      </c>
      <c r="Q32" s="179" t="s">
        <v>1934</v>
      </c>
      <c r="R32" s="180">
        <v>18548</v>
      </c>
      <c r="S32" s="250">
        <v>0</v>
      </c>
      <c r="T32" s="251">
        <v>0</v>
      </c>
      <c r="U32" s="251">
        <v>0</v>
      </c>
      <c r="V32" s="251">
        <v>0</v>
      </c>
      <c r="W32" s="251">
        <v>0</v>
      </c>
      <c r="X32" s="251">
        <v>0</v>
      </c>
      <c r="Y32" s="251">
        <v>0</v>
      </c>
      <c r="Z32" s="251">
        <v>487157</v>
      </c>
      <c r="AA32" s="251">
        <v>0</v>
      </c>
      <c r="AB32" s="251">
        <v>0</v>
      </c>
      <c r="AC32" s="251">
        <v>0</v>
      </c>
      <c r="AD32" s="252">
        <v>0</v>
      </c>
      <c r="AE32" s="181"/>
      <c r="AF32" s="253">
        <f t="shared" si="3"/>
        <v>487157</v>
      </c>
      <c r="AH32" s="178">
        <v>67079</v>
      </c>
      <c r="AI32" s="264" t="s">
        <v>924</v>
      </c>
      <c r="AJ32" s="183" t="s">
        <v>1959</v>
      </c>
      <c r="AK32" s="178"/>
      <c r="AL32" s="174">
        <v>2009</v>
      </c>
      <c r="AM32" s="254"/>
      <c r="AN32" s="184"/>
      <c r="AO32" s="255" t="s">
        <v>2</v>
      </c>
      <c r="AP32" s="256"/>
      <c r="AQ32" s="254"/>
      <c r="AR32" s="257">
        <f t="shared" si="4"/>
        <v>18548</v>
      </c>
      <c r="AS32" s="257" t="str">
        <f>IFERROR(VLOOKUP($AR32,[23]TruckCenterReference!$C$23:$I64,3,FALSE), "")</f>
        <v/>
      </c>
      <c r="AT32" s="185" t="str">
        <f t="shared" si="5"/>
        <v>Review</v>
      </c>
      <c r="AU32" s="186"/>
      <c r="AV32" s="258" t="str">
        <f>IFERROR(VLOOKUP($AR32,[23]TruckCenterReference!$C$23:$I64,4,FALSE), "")</f>
        <v/>
      </c>
      <c r="AW32" s="185" t="str">
        <f t="shared" si="6"/>
        <v>Fix!</v>
      </c>
      <c r="AY32" s="257" t="str">
        <f t="shared" si="7"/>
        <v>Automated Sideloader</v>
      </c>
      <c r="AZ32" s="187" t="str">
        <f>IFERROR(VLOOKUP($AR32,[23]TruckCenterReference!$C$23:$I64,6,FALSE), "")</f>
        <v/>
      </c>
      <c r="BA32" s="185" t="str">
        <f t="shared" si="8"/>
        <v>Fix!</v>
      </c>
      <c r="BB32" s="186"/>
      <c r="BC32" s="258">
        <f>IFERROR(VLOOKUP($AR32,[23]TruckCenterReference!$C$23:$I64,7,FALSE), 0)</f>
        <v>0</v>
      </c>
      <c r="BD32" s="259">
        <f>IFERROR(VLOOKUP($AR32,[23]TruckCenterReference!$C$23:$K64,9,FALSE), 0)</f>
        <v>0</v>
      </c>
      <c r="BE32" s="258">
        <f>IFERROR(VLOOKUP($AR32,[23]TruckCenterReference!$C$23:$K64,8,FALSE), 0)</f>
        <v>0</v>
      </c>
      <c r="BF32" s="260" t="str">
        <f t="shared" si="9"/>
        <v/>
      </c>
      <c r="BG32" s="185" t="e">
        <f t="shared" si="10"/>
        <v>#VALUE!</v>
      </c>
      <c r="BI32" s="267" t="s">
        <v>1975</v>
      </c>
    </row>
    <row r="33" spans="1:62" ht="89.25">
      <c r="A33" t="b">
        <f t="shared" si="1"/>
        <v>0</v>
      </c>
      <c r="B33" t="str">
        <f t="shared" si="2"/>
        <v>0004-1</v>
      </c>
      <c r="C33" s="170" t="s">
        <v>1960</v>
      </c>
      <c r="D33" s="171">
        <v>1</v>
      </c>
      <c r="E33" s="172"/>
      <c r="F33" s="173">
        <v>2149</v>
      </c>
      <c r="G33" s="173">
        <v>4</v>
      </c>
      <c r="H33" s="174">
        <v>1</v>
      </c>
      <c r="I33" s="175" t="s">
        <v>1961</v>
      </c>
      <c r="J33" s="175" t="s">
        <v>1962</v>
      </c>
      <c r="K33" s="175" t="s">
        <v>1963</v>
      </c>
      <c r="L33" s="176"/>
      <c r="M33" s="177" t="s">
        <v>1932</v>
      </c>
      <c r="N33" s="177" t="s">
        <v>1964</v>
      </c>
      <c r="O33" s="178">
        <v>10</v>
      </c>
      <c r="P33" s="179" t="s">
        <v>132</v>
      </c>
      <c r="Q33" s="179" t="s">
        <v>1934</v>
      </c>
      <c r="R33" s="180">
        <v>18483</v>
      </c>
      <c r="S33" s="250">
        <v>0</v>
      </c>
      <c r="T33" s="251">
        <v>0</v>
      </c>
      <c r="U33" s="251">
        <v>0</v>
      </c>
      <c r="V33" s="251">
        <v>0</v>
      </c>
      <c r="W33" s="251">
        <v>0</v>
      </c>
      <c r="X33" s="251">
        <v>350705</v>
      </c>
      <c r="Y33" s="251">
        <v>0</v>
      </c>
      <c r="Z33" s="251">
        <v>0</v>
      </c>
      <c r="AA33" s="251">
        <v>0</v>
      </c>
      <c r="AB33" s="251">
        <v>0</v>
      </c>
      <c r="AC33" s="251">
        <v>0</v>
      </c>
      <c r="AD33" s="252">
        <v>0</v>
      </c>
      <c r="AE33" s="181"/>
      <c r="AF33" s="253">
        <f t="shared" si="3"/>
        <v>350705</v>
      </c>
      <c r="AH33" s="178">
        <v>70331</v>
      </c>
      <c r="AI33" s="264" t="s">
        <v>957</v>
      </c>
      <c r="AJ33" s="183" t="s">
        <v>1963</v>
      </c>
      <c r="AK33" s="178"/>
      <c r="AL33" s="174">
        <v>2009</v>
      </c>
      <c r="AM33" s="254"/>
      <c r="AN33" s="184"/>
      <c r="AO33" s="255" t="s">
        <v>2</v>
      </c>
      <c r="AP33" s="256"/>
      <c r="AQ33" s="254"/>
      <c r="AR33" s="257">
        <f t="shared" si="4"/>
        <v>18483</v>
      </c>
      <c r="AS33" s="257" t="str">
        <f>IFERROR(VLOOKUP($AR33,[23]TruckCenterReference!$C$23:$I65,3,FALSE), "")</f>
        <v/>
      </c>
      <c r="AT33" s="185" t="str">
        <f t="shared" si="5"/>
        <v>Review</v>
      </c>
      <c r="AU33" s="186"/>
      <c r="AV33" s="258" t="str">
        <f>IFERROR(VLOOKUP($AR33,[23]TruckCenterReference!$C$23:$I65,4,FALSE), "")</f>
        <v/>
      </c>
      <c r="AW33" s="185" t="str">
        <f t="shared" si="6"/>
        <v>Fix!</v>
      </c>
      <c r="AY33" s="257" t="str">
        <f t="shared" si="7"/>
        <v>Rear Loader</v>
      </c>
      <c r="AZ33" s="187" t="str">
        <f>IFERROR(VLOOKUP($AR33,[23]TruckCenterReference!$C$23:$I65,6,FALSE), "")</f>
        <v/>
      </c>
      <c r="BA33" s="185" t="str">
        <f t="shared" si="8"/>
        <v>Fix!</v>
      </c>
      <c r="BB33" s="186"/>
      <c r="BC33" s="258">
        <f>IFERROR(VLOOKUP($AR33,[23]TruckCenterReference!$C$23:$I65,7,FALSE), 0)</f>
        <v>0</v>
      </c>
      <c r="BD33" s="259">
        <f>IFERROR(VLOOKUP($AR33,[23]TruckCenterReference!$C$23:$K65,9,FALSE), 0)</f>
        <v>0</v>
      </c>
      <c r="BE33" s="258">
        <f>IFERROR(VLOOKUP($AR33,[23]TruckCenterReference!$C$23:$K65,8,FALSE), 0)</f>
        <v>0</v>
      </c>
      <c r="BF33" s="260" t="str">
        <f t="shared" si="9"/>
        <v/>
      </c>
      <c r="BG33" s="185" t="e">
        <f t="shared" si="10"/>
        <v>#VALUE!</v>
      </c>
      <c r="BI33" s="268" t="s">
        <v>1976</v>
      </c>
      <c r="BJ33" t="s">
        <v>1981</v>
      </c>
    </row>
    <row r="34" spans="1:62" ht="89.25">
      <c r="A34" t="b">
        <f t="shared" si="1"/>
        <v>0</v>
      </c>
      <c r="B34" t="str">
        <f t="shared" si="2"/>
        <v>0005-1</v>
      </c>
      <c r="C34" s="170" t="s">
        <v>1937</v>
      </c>
      <c r="D34" s="171">
        <v>1</v>
      </c>
      <c r="E34" s="172"/>
      <c r="F34" s="173">
        <v>2149</v>
      </c>
      <c r="G34" s="173">
        <v>5</v>
      </c>
      <c r="H34" s="174">
        <v>1</v>
      </c>
      <c r="I34" s="175" t="s">
        <v>1961</v>
      </c>
      <c r="J34" s="175" t="s">
        <v>1965</v>
      </c>
      <c r="K34" s="175" t="s">
        <v>1966</v>
      </c>
      <c r="L34" s="176"/>
      <c r="M34" s="177" t="s">
        <v>1932</v>
      </c>
      <c r="N34" s="177" t="s">
        <v>1964</v>
      </c>
      <c r="O34" s="178">
        <v>10</v>
      </c>
      <c r="P34" s="179" t="s">
        <v>132</v>
      </c>
      <c r="Q34" s="179" t="s">
        <v>1934</v>
      </c>
      <c r="R34" s="180">
        <v>18511</v>
      </c>
      <c r="S34" s="250">
        <v>0</v>
      </c>
      <c r="T34" s="251">
        <v>0</v>
      </c>
      <c r="U34" s="251">
        <v>0</v>
      </c>
      <c r="V34" s="251">
        <v>0</v>
      </c>
      <c r="W34" s="251">
        <v>0</v>
      </c>
      <c r="X34" s="251">
        <v>0</v>
      </c>
      <c r="Y34" s="251">
        <v>0</v>
      </c>
      <c r="Z34" s="251">
        <v>0</v>
      </c>
      <c r="AA34" s="251">
        <v>0</v>
      </c>
      <c r="AB34" s="251">
        <v>148783</v>
      </c>
      <c r="AC34" s="251">
        <v>0</v>
      </c>
      <c r="AD34" s="252">
        <v>0</v>
      </c>
      <c r="AE34" s="181"/>
      <c r="AF34" s="253">
        <f t="shared" si="3"/>
        <v>148783</v>
      </c>
      <c r="AH34" s="178">
        <v>70267</v>
      </c>
      <c r="AI34" s="264" t="s">
        <v>954</v>
      </c>
      <c r="AJ34" s="183" t="s">
        <v>1966</v>
      </c>
      <c r="AK34" s="178"/>
      <c r="AL34" s="174">
        <v>2007</v>
      </c>
      <c r="AM34" s="254"/>
      <c r="AN34" s="184"/>
      <c r="AO34" s="255" t="s">
        <v>2</v>
      </c>
      <c r="AP34" s="256"/>
      <c r="AQ34" s="254"/>
      <c r="AR34" s="257">
        <f t="shared" si="4"/>
        <v>18511</v>
      </c>
      <c r="AS34" s="257" t="str">
        <f>IFERROR(VLOOKUP($AR34,[23]TruckCenterReference!$C$23:$I66,3,FALSE), "")</f>
        <v/>
      </c>
      <c r="AT34" s="185" t="str">
        <f t="shared" si="5"/>
        <v>Review</v>
      </c>
      <c r="AU34" s="186"/>
      <c r="AV34" s="258" t="str">
        <f>IFERROR(VLOOKUP($AR34,[23]TruckCenterReference!$C$23:$I66,4,FALSE), "")</f>
        <v/>
      </c>
      <c r="AW34" s="185" t="str">
        <f t="shared" si="6"/>
        <v>Fix!</v>
      </c>
      <c r="AY34" s="257" t="str">
        <f t="shared" si="7"/>
        <v>Rear Loader</v>
      </c>
      <c r="AZ34" s="187" t="str">
        <f>IFERROR(VLOOKUP($AR34,[23]TruckCenterReference!$C$23:$I66,6,FALSE), "")</f>
        <v/>
      </c>
      <c r="BA34" s="185" t="str">
        <f t="shared" si="8"/>
        <v>Fix!</v>
      </c>
      <c r="BB34" s="186"/>
      <c r="BC34" s="258">
        <f>IFERROR(VLOOKUP($AR34,[23]TruckCenterReference!$C$23:$I66,7,FALSE), 0)</f>
        <v>0</v>
      </c>
      <c r="BD34" s="259">
        <f>IFERROR(VLOOKUP($AR34,[23]TruckCenterReference!$C$23:$K66,9,FALSE), 0)</f>
        <v>0</v>
      </c>
      <c r="BE34" s="258">
        <f>IFERROR(VLOOKUP($AR34,[23]TruckCenterReference!$C$23:$K66,8,FALSE), 0)</f>
        <v>0</v>
      </c>
      <c r="BF34" s="260" t="str">
        <f t="shared" si="9"/>
        <v/>
      </c>
      <c r="BG34" s="185" t="e">
        <f t="shared" si="10"/>
        <v>#VALUE!</v>
      </c>
      <c r="BI34" s="267" t="s">
        <v>1973</v>
      </c>
    </row>
    <row r="35" spans="1:62" ht="89.25">
      <c r="A35" t="b">
        <f t="shared" si="1"/>
        <v>0</v>
      </c>
      <c r="B35" t="str">
        <f t="shared" si="2"/>
        <v>0008-1</v>
      </c>
      <c r="C35" s="170" t="s">
        <v>1967</v>
      </c>
      <c r="D35" s="171">
        <v>1</v>
      </c>
      <c r="E35" s="172"/>
      <c r="F35" s="173">
        <v>2149</v>
      </c>
      <c r="G35" s="173">
        <v>8</v>
      </c>
      <c r="H35" s="174">
        <v>1</v>
      </c>
      <c r="I35" s="175" t="s">
        <v>1968</v>
      </c>
      <c r="J35" s="175" t="s">
        <v>1968</v>
      </c>
      <c r="K35" s="175" t="s">
        <v>1969</v>
      </c>
      <c r="L35" s="176"/>
      <c r="M35" s="177" t="s">
        <v>1970</v>
      </c>
      <c r="N35" s="177" t="s">
        <v>233</v>
      </c>
      <c r="O35" s="178">
        <v>12</v>
      </c>
      <c r="P35" s="179" t="s">
        <v>132</v>
      </c>
      <c r="Q35" s="179" t="s">
        <v>1971</v>
      </c>
      <c r="R35" s="180"/>
      <c r="S35" s="250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130000</v>
      </c>
      <c r="Z35" s="251">
        <v>0</v>
      </c>
      <c r="AA35" s="251">
        <v>0</v>
      </c>
      <c r="AB35" s="251">
        <v>0</v>
      </c>
      <c r="AC35" s="251">
        <v>0</v>
      </c>
      <c r="AD35" s="252">
        <v>0</v>
      </c>
      <c r="AE35" s="181"/>
      <c r="AF35" s="253">
        <f t="shared" si="3"/>
        <v>130000</v>
      </c>
      <c r="AH35" s="178">
        <v>33233</v>
      </c>
      <c r="AI35" s="264" t="s">
        <v>781</v>
      </c>
      <c r="AJ35" s="183" t="s">
        <v>1972</v>
      </c>
      <c r="AK35" s="178"/>
      <c r="AL35" s="174">
        <v>1999</v>
      </c>
      <c r="AM35" s="254"/>
      <c r="AN35" s="184"/>
      <c r="AO35" s="255" t="s">
        <v>2</v>
      </c>
      <c r="AP35" s="256"/>
      <c r="AQ35" s="254"/>
      <c r="AR35" s="257" t="str">
        <f t="shared" si="4"/>
        <v/>
      </c>
      <c r="AS35" s="257" t="str">
        <f>IFERROR(VLOOKUP($AR35,[23]TruckCenterReference!$C$23:$I67,3,FALSE), "")</f>
        <v/>
      </c>
      <c r="AT35" s="185" t="str">
        <f t="shared" si="5"/>
        <v/>
      </c>
      <c r="AU35" s="186"/>
      <c r="AV35" s="258" t="str">
        <f>IFERROR(VLOOKUP($AR35,[23]TruckCenterReference!$C$23:$I67,4,FALSE), "")</f>
        <v/>
      </c>
      <c r="AW35" s="185" t="str">
        <f t="shared" si="6"/>
        <v/>
      </c>
      <c r="AY35" s="257" t="str">
        <f t="shared" si="7"/>
        <v/>
      </c>
      <c r="AZ35" s="187" t="str">
        <f>IFERROR(VLOOKUP($AR35,[23]TruckCenterReference!$C$23:$I67,6,FALSE), "")</f>
        <v/>
      </c>
      <c r="BA35" s="185" t="str">
        <f t="shared" si="8"/>
        <v/>
      </c>
      <c r="BB35" s="186"/>
      <c r="BC35" s="258">
        <f>IFERROR(VLOOKUP($AR35,[23]TruckCenterReference!$C$23:$I67,7,FALSE), 0)</f>
        <v>0</v>
      </c>
      <c r="BD35" s="259">
        <f>IFERROR(VLOOKUP($AR35,[23]TruckCenterReference!$C$23:$K67,9,FALSE), 0)</f>
        <v>0</v>
      </c>
      <c r="BE35" s="258">
        <f>IFERROR(VLOOKUP($AR35,[23]TruckCenterReference!$C$23:$K67,8,FALSE), 0)</f>
        <v>0</v>
      </c>
      <c r="BF35" s="260" t="str">
        <f t="shared" si="9"/>
        <v/>
      </c>
      <c r="BG35" s="185" t="str">
        <f t="shared" si="10"/>
        <v/>
      </c>
      <c r="BI35" s="268" t="s">
        <v>1977</v>
      </c>
      <c r="BJ35" t="s">
        <v>1982</v>
      </c>
    </row>
    <row r="36" spans="1:62">
      <c r="A36" t="b">
        <f t="shared" si="1"/>
        <v>0</v>
      </c>
      <c r="B36" t="str">
        <f t="shared" si="2"/>
        <v/>
      </c>
      <c r="C36" s="170" t="s">
        <v>1940</v>
      </c>
      <c r="D36" s="171">
        <v>1</v>
      </c>
      <c r="E36" s="172"/>
      <c r="F36" s="173"/>
      <c r="G36" s="173"/>
      <c r="H36" s="174"/>
      <c r="I36" s="175" t="s">
        <v>1940</v>
      </c>
      <c r="J36" s="175" t="s">
        <v>1940</v>
      </c>
      <c r="K36" s="175" t="s">
        <v>1940</v>
      </c>
      <c r="L36" s="176"/>
      <c r="M36" s="177" t="s">
        <v>1940</v>
      </c>
      <c r="N36" s="177" t="s">
        <v>1940</v>
      </c>
      <c r="O36" s="178"/>
      <c r="P36" s="179" t="s">
        <v>1940</v>
      </c>
      <c r="Q36" s="179" t="s">
        <v>1940</v>
      </c>
      <c r="R36" s="180"/>
      <c r="S36" s="250">
        <v>0</v>
      </c>
      <c r="T36" s="251">
        <v>0</v>
      </c>
      <c r="U36" s="251">
        <v>0</v>
      </c>
      <c r="V36" s="251">
        <v>0</v>
      </c>
      <c r="W36" s="251">
        <v>0</v>
      </c>
      <c r="X36" s="251">
        <v>0</v>
      </c>
      <c r="Y36" s="251">
        <v>0</v>
      </c>
      <c r="Z36" s="251">
        <v>0</v>
      </c>
      <c r="AA36" s="251">
        <v>0</v>
      </c>
      <c r="AB36" s="251">
        <v>0</v>
      </c>
      <c r="AC36" s="251">
        <v>0</v>
      </c>
      <c r="AD36" s="252">
        <v>0</v>
      </c>
      <c r="AE36" s="181"/>
      <c r="AF36" s="253">
        <f t="shared" si="3"/>
        <v>0</v>
      </c>
      <c r="AH36" s="178"/>
      <c r="AI36" s="182"/>
      <c r="AJ36" s="183" t="s">
        <v>1940</v>
      </c>
      <c r="AK36" s="178"/>
      <c r="AL36" s="174"/>
      <c r="AM36" s="254"/>
      <c r="AN36" s="184"/>
      <c r="AO36" s="255" t="s">
        <v>2</v>
      </c>
      <c r="AP36" s="256"/>
      <c r="AQ36" s="254"/>
      <c r="AR36" s="257" t="str">
        <f t="shared" si="4"/>
        <v/>
      </c>
      <c r="AS36" s="257" t="str">
        <f>IFERROR(VLOOKUP($AR36,[23]TruckCenterReference!$C$23:$I68,3,FALSE), "")</f>
        <v/>
      </c>
      <c r="AT36" s="185" t="str">
        <f t="shared" si="5"/>
        <v/>
      </c>
      <c r="AU36" s="186"/>
      <c r="AV36" s="258" t="str">
        <f>IFERROR(VLOOKUP($AR36,[23]TruckCenterReference!$C$23:$I68,4,FALSE), "")</f>
        <v/>
      </c>
      <c r="AW36" s="185" t="str">
        <f t="shared" si="6"/>
        <v/>
      </c>
      <c r="AY36" s="257" t="str">
        <f t="shared" si="7"/>
        <v/>
      </c>
      <c r="AZ36" s="187" t="str">
        <f>IFERROR(VLOOKUP($AR36,[23]TruckCenterReference!$C$23:$I68,6,FALSE), "")</f>
        <v/>
      </c>
      <c r="BA36" s="185" t="str">
        <f t="shared" si="8"/>
        <v/>
      </c>
      <c r="BB36" s="186"/>
      <c r="BC36" s="258">
        <f>IFERROR(VLOOKUP($AR36,[23]TruckCenterReference!$C$23:$I68,7,FALSE), 0)</f>
        <v>0</v>
      </c>
      <c r="BD36" s="259">
        <f>IFERROR(VLOOKUP($AR36,[23]TruckCenterReference!$C$23:$K68,9,FALSE), 0)</f>
        <v>0</v>
      </c>
      <c r="BE36" s="258">
        <f>IFERROR(VLOOKUP($AR36,[23]TruckCenterReference!$C$23:$K68,8,FALSE), 0)</f>
        <v>0</v>
      </c>
      <c r="BF36" s="260" t="str">
        <f t="shared" si="9"/>
        <v/>
      </c>
      <c r="BG36" s="185" t="str">
        <f t="shared" si="10"/>
        <v/>
      </c>
    </row>
    <row r="37" spans="1:62">
      <c r="A37" t="b">
        <f t="shared" si="1"/>
        <v>0</v>
      </c>
      <c r="B37" t="str">
        <f t="shared" si="2"/>
        <v/>
      </c>
      <c r="C37" s="170" t="s">
        <v>1940</v>
      </c>
      <c r="D37" s="171">
        <v>1</v>
      </c>
      <c r="E37" s="172"/>
      <c r="F37" s="173"/>
      <c r="G37" s="173"/>
      <c r="H37" s="174"/>
      <c r="I37" s="175" t="s">
        <v>1940</v>
      </c>
      <c r="J37" s="175" t="s">
        <v>1940</v>
      </c>
      <c r="K37" s="175" t="s">
        <v>1940</v>
      </c>
      <c r="L37" s="176"/>
      <c r="M37" s="177" t="s">
        <v>1940</v>
      </c>
      <c r="N37" s="177" t="s">
        <v>1940</v>
      </c>
      <c r="O37" s="178"/>
      <c r="P37" s="179" t="s">
        <v>1940</v>
      </c>
      <c r="Q37" s="179" t="s">
        <v>1940</v>
      </c>
      <c r="R37" s="180"/>
      <c r="S37" s="250">
        <v>0</v>
      </c>
      <c r="T37" s="251">
        <v>0</v>
      </c>
      <c r="U37" s="251">
        <v>0</v>
      </c>
      <c r="V37" s="251">
        <v>0</v>
      </c>
      <c r="W37" s="251">
        <v>0</v>
      </c>
      <c r="X37" s="251">
        <v>0</v>
      </c>
      <c r="Y37" s="251">
        <v>0</v>
      </c>
      <c r="Z37" s="251">
        <v>0</v>
      </c>
      <c r="AA37" s="251">
        <v>0</v>
      </c>
      <c r="AB37" s="251">
        <v>0</v>
      </c>
      <c r="AC37" s="251">
        <v>0</v>
      </c>
      <c r="AD37" s="252">
        <v>0</v>
      </c>
      <c r="AE37" s="181"/>
      <c r="AF37" s="253">
        <f t="shared" si="3"/>
        <v>0</v>
      </c>
      <c r="AH37" s="178"/>
      <c r="AI37" s="182"/>
      <c r="AJ37" s="183" t="s">
        <v>1940</v>
      </c>
      <c r="AK37" s="178"/>
      <c r="AL37" s="174"/>
      <c r="AM37" s="254"/>
      <c r="AN37" s="184"/>
      <c r="AO37" s="255" t="s">
        <v>2</v>
      </c>
      <c r="AP37" s="256"/>
      <c r="AQ37" s="254"/>
      <c r="AR37" s="257" t="str">
        <f t="shared" si="4"/>
        <v/>
      </c>
      <c r="AS37" s="257" t="str">
        <f>IFERROR(VLOOKUP($AR37,[23]TruckCenterReference!$C$23:$I69,3,FALSE), "")</f>
        <v/>
      </c>
      <c r="AT37" s="185" t="str">
        <f t="shared" si="5"/>
        <v/>
      </c>
      <c r="AU37" s="186"/>
      <c r="AV37" s="258" t="str">
        <f>IFERROR(VLOOKUP($AR37,[23]TruckCenterReference!$C$23:$I69,4,FALSE), "")</f>
        <v/>
      </c>
      <c r="AW37" s="185" t="str">
        <f t="shared" si="6"/>
        <v/>
      </c>
      <c r="AY37" s="257" t="str">
        <f t="shared" si="7"/>
        <v/>
      </c>
      <c r="AZ37" s="187" t="str">
        <f>IFERROR(VLOOKUP($AR37,[23]TruckCenterReference!$C$23:$I69,6,FALSE), "")</f>
        <v/>
      </c>
      <c r="BA37" s="185" t="str">
        <f t="shared" si="8"/>
        <v/>
      </c>
      <c r="BB37" s="186"/>
      <c r="BC37" s="258">
        <f>IFERROR(VLOOKUP($AR37,[23]TruckCenterReference!$C$23:$I69,7,FALSE), 0)</f>
        <v>0</v>
      </c>
      <c r="BD37" s="259">
        <f>IFERROR(VLOOKUP($AR37,[23]TruckCenterReference!$C$23:$K69,9,FALSE), 0)</f>
        <v>0</v>
      </c>
      <c r="BE37" s="258">
        <f>IFERROR(VLOOKUP($AR37,[23]TruckCenterReference!$C$23:$K69,8,FALSE), 0)</f>
        <v>0</v>
      </c>
      <c r="BF37" s="260" t="str">
        <f t="shared" si="9"/>
        <v/>
      </c>
      <c r="BG37" s="185" t="str">
        <f t="shared" si="10"/>
        <v/>
      </c>
    </row>
    <row r="38" spans="1:62">
      <c r="A38" t="b">
        <f t="shared" si="1"/>
        <v>0</v>
      </c>
      <c r="B38" t="str">
        <f t="shared" si="2"/>
        <v/>
      </c>
      <c r="C38" s="170" t="s">
        <v>1940</v>
      </c>
      <c r="D38" s="171">
        <v>1</v>
      </c>
      <c r="E38" s="172"/>
      <c r="F38" s="173"/>
      <c r="G38" s="173"/>
      <c r="H38" s="174"/>
      <c r="I38" s="175" t="s">
        <v>1940</v>
      </c>
      <c r="J38" s="175" t="s">
        <v>1940</v>
      </c>
      <c r="K38" s="175" t="s">
        <v>1940</v>
      </c>
      <c r="L38" s="176"/>
      <c r="M38" s="177" t="s">
        <v>1940</v>
      </c>
      <c r="N38" s="177" t="s">
        <v>1940</v>
      </c>
      <c r="O38" s="178"/>
      <c r="P38" s="179" t="s">
        <v>1940</v>
      </c>
      <c r="Q38" s="179" t="s">
        <v>1940</v>
      </c>
      <c r="R38" s="180"/>
      <c r="S38" s="250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2">
        <v>0</v>
      </c>
      <c r="AE38" s="181"/>
      <c r="AF38" s="253">
        <f t="shared" si="3"/>
        <v>0</v>
      </c>
      <c r="AH38" s="178"/>
      <c r="AI38" s="182"/>
      <c r="AJ38" s="183" t="s">
        <v>1940</v>
      </c>
      <c r="AK38" s="178"/>
      <c r="AL38" s="174"/>
      <c r="AM38" s="254"/>
      <c r="AN38" s="184"/>
      <c r="AO38" s="255" t="s">
        <v>2</v>
      </c>
      <c r="AP38" s="256"/>
      <c r="AQ38" s="254"/>
      <c r="AR38" s="257" t="str">
        <f t="shared" si="4"/>
        <v/>
      </c>
      <c r="AS38" s="257" t="str">
        <f>IFERROR(VLOOKUP($AR38,[23]TruckCenterReference!$C$23:$I70,3,FALSE), "")</f>
        <v/>
      </c>
      <c r="AT38" s="185" t="str">
        <f t="shared" si="5"/>
        <v/>
      </c>
      <c r="AU38" s="186"/>
      <c r="AV38" s="258" t="str">
        <f>IFERROR(VLOOKUP($AR38,[23]TruckCenterReference!$C$23:$I70,4,FALSE), "")</f>
        <v/>
      </c>
      <c r="AW38" s="185" t="str">
        <f t="shared" si="6"/>
        <v/>
      </c>
      <c r="AY38" s="257" t="str">
        <f t="shared" si="7"/>
        <v/>
      </c>
      <c r="AZ38" s="187" t="str">
        <f>IFERROR(VLOOKUP($AR38,[23]TruckCenterReference!$C$23:$I70,6,FALSE), "")</f>
        <v/>
      </c>
      <c r="BA38" s="185" t="str">
        <f t="shared" si="8"/>
        <v/>
      </c>
      <c r="BB38" s="186"/>
      <c r="BC38" s="258">
        <f>IFERROR(VLOOKUP($AR38,[23]TruckCenterReference!$C$23:$I70,7,FALSE), 0)</f>
        <v>0</v>
      </c>
      <c r="BD38" s="259">
        <f>IFERROR(VLOOKUP($AR38,[23]TruckCenterReference!$C$23:$K70,9,FALSE), 0)</f>
        <v>0</v>
      </c>
      <c r="BE38" s="258">
        <f>IFERROR(VLOOKUP($AR38,[23]TruckCenterReference!$C$23:$K70,8,FALSE), 0)</f>
        <v>0</v>
      </c>
      <c r="BF38" s="260" t="str">
        <f t="shared" si="9"/>
        <v/>
      </c>
      <c r="BG38" s="185" t="str">
        <f t="shared" si="10"/>
        <v/>
      </c>
    </row>
    <row r="39" spans="1:62">
      <c r="A39" t="b">
        <f t="shared" si="1"/>
        <v>0</v>
      </c>
      <c r="B39" t="str">
        <f t="shared" si="2"/>
        <v/>
      </c>
      <c r="C39" s="170" t="s">
        <v>1940</v>
      </c>
      <c r="D39" s="171">
        <v>1</v>
      </c>
      <c r="E39" s="172"/>
      <c r="F39" s="173"/>
      <c r="G39" s="173"/>
      <c r="H39" s="174"/>
      <c r="I39" s="175" t="s">
        <v>1940</v>
      </c>
      <c r="J39" s="175" t="s">
        <v>1940</v>
      </c>
      <c r="K39" s="175" t="s">
        <v>1940</v>
      </c>
      <c r="L39" s="176"/>
      <c r="M39" s="177" t="s">
        <v>1940</v>
      </c>
      <c r="N39" s="177" t="s">
        <v>1940</v>
      </c>
      <c r="O39" s="178"/>
      <c r="P39" s="179" t="s">
        <v>1940</v>
      </c>
      <c r="Q39" s="179" t="s">
        <v>1940</v>
      </c>
      <c r="R39" s="180"/>
      <c r="S39" s="250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2">
        <v>0</v>
      </c>
      <c r="AE39" s="181"/>
      <c r="AF39" s="253">
        <f t="shared" si="3"/>
        <v>0</v>
      </c>
      <c r="AH39" s="178"/>
      <c r="AI39" s="182"/>
      <c r="AJ39" s="183" t="s">
        <v>1940</v>
      </c>
      <c r="AK39" s="178"/>
      <c r="AL39" s="174"/>
      <c r="AM39" s="254"/>
      <c r="AN39" s="184"/>
      <c r="AO39" s="255" t="s">
        <v>2</v>
      </c>
      <c r="AP39" s="256"/>
      <c r="AQ39" s="254"/>
      <c r="AR39" s="257" t="str">
        <f t="shared" si="4"/>
        <v/>
      </c>
      <c r="AS39" s="257" t="str">
        <f>IFERROR(VLOOKUP($AR39,[23]TruckCenterReference!$C$23:$I71,3,FALSE), "")</f>
        <v/>
      </c>
      <c r="AT39" s="185" t="str">
        <f t="shared" si="5"/>
        <v/>
      </c>
      <c r="AU39" s="186"/>
      <c r="AV39" s="258" t="str">
        <f>IFERROR(VLOOKUP($AR39,[23]TruckCenterReference!$C$23:$I71,4,FALSE), "")</f>
        <v/>
      </c>
      <c r="AW39" s="185" t="str">
        <f t="shared" si="6"/>
        <v/>
      </c>
      <c r="AY39" s="257" t="str">
        <f t="shared" si="7"/>
        <v/>
      </c>
      <c r="AZ39" s="187" t="str">
        <f>IFERROR(VLOOKUP($AR39,[23]TruckCenterReference!$C$23:$I71,6,FALSE), "")</f>
        <v/>
      </c>
      <c r="BA39" s="185" t="str">
        <f t="shared" si="8"/>
        <v/>
      </c>
      <c r="BB39" s="186"/>
      <c r="BC39" s="258">
        <f>IFERROR(VLOOKUP($AR39,[23]TruckCenterReference!$C$23:$I71,7,FALSE), 0)</f>
        <v>0</v>
      </c>
      <c r="BD39" s="259">
        <f>IFERROR(VLOOKUP($AR39,[23]TruckCenterReference!$C$23:$K71,9,FALSE), 0)</f>
        <v>0</v>
      </c>
      <c r="BE39" s="258">
        <f>IFERROR(VLOOKUP($AR39,[23]TruckCenterReference!$C$23:$K71,8,FALSE), 0)</f>
        <v>0</v>
      </c>
      <c r="BF39" s="260" t="str">
        <f t="shared" si="9"/>
        <v/>
      </c>
      <c r="BG39" s="185" t="str">
        <f t="shared" si="10"/>
        <v/>
      </c>
    </row>
    <row r="40" spans="1:62">
      <c r="A40" t="b">
        <f t="shared" si="1"/>
        <v>0</v>
      </c>
      <c r="B40" t="str">
        <f t="shared" si="2"/>
        <v/>
      </c>
      <c r="C40" s="170" t="s">
        <v>1940</v>
      </c>
      <c r="D40" s="171">
        <v>1</v>
      </c>
      <c r="E40" s="172"/>
      <c r="F40" s="173"/>
      <c r="G40" s="173"/>
      <c r="H40" s="174"/>
      <c r="I40" s="175" t="s">
        <v>1940</v>
      </c>
      <c r="J40" s="175" t="s">
        <v>1940</v>
      </c>
      <c r="K40" s="175" t="s">
        <v>1940</v>
      </c>
      <c r="L40" s="176"/>
      <c r="M40" s="177" t="s">
        <v>1940</v>
      </c>
      <c r="N40" s="177" t="s">
        <v>1940</v>
      </c>
      <c r="O40" s="178"/>
      <c r="P40" s="179" t="s">
        <v>1940</v>
      </c>
      <c r="Q40" s="179" t="s">
        <v>1940</v>
      </c>
      <c r="R40" s="180"/>
      <c r="S40" s="250">
        <v>0</v>
      </c>
      <c r="T40" s="251">
        <v>0</v>
      </c>
      <c r="U40" s="251">
        <v>0</v>
      </c>
      <c r="V40" s="251">
        <v>0</v>
      </c>
      <c r="W40" s="251">
        <v>0</v>
      </c>
      <c r="X40" s="251">
        <v>0</v>
      </c>
      <c r="Y40" s="251">
        <v>0</v>
      </c>
      <c r="Z40" s="251">
        <v>0</v>
      </c>
      <c r="AA40" s="251">
        <v>0</v>
      </c>
      <c r="AB40" s="251">
        <v>0</v>
      </c>
      <c r="AC40" s="251">
        <v>0</v>
      </c>
      <c r="AD40" s="252">
        <v>0</v>
      </c>
      <c r="AE40" s="181"/>
      <c r="AF40" s="253">
        <f t="shared" si="3"/>
        <v>0</v>
      </c>
      <c r="AH40" s="178"/>
      <c r="AI40" s="182"/>
      <c r="AJ40" s="183" t="s">
        <v>1940</v>
      </c>
      <c r="AK40" s="178"/>
      <c r="AL40" s="174"/>
      <c r="AM40" s="254"/>
      <c r="AN40" s="184"/>
      <c r="AO40" s="255" t="s">
        <v>2</v>
      </c>
      <c r="AP40" s="256"/>
      <c r="AQ40" s="254"/>
      <c r="AR40" s="257" t="str">
        <f t="shared" si="4"/>
        <v/>
      </c>
      <c r="AS40" s="257" t="str">
        <f>IFERROR(VLOOKUP($AR40,[23]TruckCenterReference!$C$23:$I72,3,FALSE), "")</f>
        <v/>
      </c>
      <c r="AT40" s="185" t="str">
        <f t="shared" si="5"/>
        <v/>
      </c>
      <c r="AU40" s="186"/>
      <c r="AV40" s="258" t="str">
        <f>IFERROR(VLOOKUP($AR40,[23]TruckCenterReference!$C$23:$I72,4,FALSE), "")</f>
        <v/>
      </c>
      <c r="AW40" s="185" t="str">
        <f t="shared" si="6"/>
        <v/>
      </c>
      <c r="AY40" s="257" t="str">
        <f t="shared" si="7"/>
        <v/>
      </c>
      <c r="AZ40" s="187" t="str">
        <f>IFERROR(VLOOKUP($AR40,[23]TruckCenterReference!$C$23:$I72,6,FALSE), "")</f>
        <v/>
      </c>
      <c r="BA40" s="185" t="str">
        <f t="shared" si="8"/>
        <v/>
      </c>
      <c r="BB40" s="186"/>
      <c r="BC40" s="258">
        <f>IFERROR(VLOOKUP($AR40,[23]TruckCenterReference!$C$23:$I72,7,FALSE), 0)</f>
        <v>0</v>
      </c>
      <c r="BD40" s="259">
        <f>IFERROR(VLOOKUP($AR40,[23]TruckCenterReference!$C$23:$K72,9,FALSE), 0)</f>
        <v>0</v>
      </c>
      <c r="BE40" s="258">
        <f>IFERROR(VLOOKUP($AR40,[23]TruckCenterReference!$C$23:$K72,8,FALSE), 0)</f>
        <v>0</v>
      </c>
      <c r="BF40" s="260" t="str">
        <f t="shared" si="9"/>
        <v/>
      </c>
      <c r="BG40" s="185" t="str">
        <f t="shared" si="10"/>
        <v/>
      </c>
    </row>
    <row r="41" spans="1:62">
      <c r="A41" t="b">
        <f t="shared" si="1"/>
        <v>0</v>
      </c>
      <c r="B41" t="str">
        <f t="shared" si="2"/>
        <v/>
      </c>
      <c r="C41" s="170" t="s">
        <v>1940</v>
      </c>
      <c r="D41" s="171">
        <v>1</v>
      </c>
      <c r="E41" s="172"/>
      <c r="F41" s="173"/>
      <c r="G41" s="173"/>
      <c r="H41" s="174"/>
      <c r="I41" s="175" t="s">
        <v>1940</v>
      </c>
      <c r="J41" s="175" t="s">
        <v>1940</v>
      </c>
      <c r="K41" s="175" t="s">
        <v>1940</v>
      </c>
      <c r="L41" s="176"/>
      <c r="M41" s="177" t="s">
        <v>1940</v>
      </c>
      <c r="N41" s="177" t="s">
        <v>1940</v>
      </c>
      <c r="O41" s="178"/>
      <c r="P41" s="179" t="s">
        <v>1940</v>
      </c>
      <c r="Q41" s="179" t="s">
        <v>1940</v>
      </c>
      <c r="R41" s="180"/>
      <c r="S41" s="250">
        <v>0</v>
      </c>
      <c r="T41" s="251">
        <v>0</v>
      </c>
      <c r="U41" s="251">
        <v>0</v>
      </c>
      <c r="V41" s="251">
        <v>0</v>
      </c>
      <c r="W41" s="251">
        <v>0</v>
      </c>
      <c r="X41" s="251">
        <v>0</v>
      </c>
      <c r="Y41" s="251">
        <v>0</v>
      </c>
      <c r="Z41" s="251">
        <v>0</v>
      </c>
      <c r="AA41" s="251">
        <v>0</v>
      </c>
      <c r="AB41" s="251">
        <v>0</v>
      </c>
      <c r="AC41" s="251">
        <v>0</v>
      </c>
      <c r="AD41" s="252">
        <v>0</v>
      </c>
      <c r="AE41" s="181"/>
      <c r="AF41" s="253">
        <f t="shared" si="3"/>
        <v>0</v>
      </c>
      <c r="AH41" s="178"/>
      <c r="AI41" s="182"/>
      <c r="AJ41" s="183" t="s">
        <v>1940</v>
      </c>
      <c r="AK41" s="178"/>
      <c r="AL41" s="174"/>
      <c r="AM41" s="254"/>
      <c r="AN41" s="184"/>
      <c r="AO41" s="255" t="s">
        <v>2</v>
      </c>
      <c r="AP41" s="256"/>
      <c r="AQ41" s="254"/>
      <c r="AR41" s="257" t="str">
        <f t="shared" si="4"/>
        <v/>
      </c>
      <c r="AS41" s="257" t="str">
        <f>IFERROR(VLOOKUP($AR41,[23]TruckCenterReference!$C$23:$I73,3,FALSE), "")</f>
        <v/>
      </c>
      <c r="AT41" s="185" t="str">
        <f t="shared" si="5"/>
        <v/>
      </c>
      <c r="AU41" s="186"/>
      <c r="AV41" s="258" t="str">
        <f>IFERROR(VLOOKUP($AR41,[23]TruckCenterReference!$C$23:$I73,4,FALSE), "")</f>
        <v/>
      </c>
      <c r="AW41" s="185" t="str">
        <f t="shared" si="6"/>
        <v/>
      </c>
      <c r="AY41" s="257" t="str">
        <f t="shared" si="7"/>
        <v/>
      </c>
      <c r="AZ41" s="187" t="str">
        <f>IFERROR(VLOOKUP($AR41,[23]TruckCenterReference!$C$23:$I73,6,FALSE), "")</f>
        <v/>
      </c>
      <c r="BA41" s="185" t="str">
        <f t="shared" si="8"/>
        <v/>
      </c>
      <c r="BB41" s="186"/>
      <c r="BC41" s="258">
        <f>IFERROR(VLOOKUP($AR41,[23]TruckCenterReference!$C$23:$I73,7,FALSE), 0)</f>
        <v>0</v>
      </c>
      <c r="BD41" s="259">
        <f>IFERROR(VLOOKUP($AR41,[23]TruckCenterReference!$C$23:$K73,9,FALSE), 0)</f>
        <v>0</v>
      </c>
      <c r="BE41" s="258">
        <f>IFERROR(VLOOKUP($AR41,[23]TruckCenterReference!$C$23:$K73,8,FALSE), 0)</f>
        <v>0</v>
      </c>
      <c r="BF41" s="260" t="str">
        <f t="shared" si="9"/>
        <v/>
      </c>
      <c r="BG41" s="185" t="str">
        <f t="shared" si="10"/>
        <v/>
      </c>
    </row>
    <row r="42" spans="1:62">
      <c r="A42" t="b">
        <f t="shared" si="1"/>
        <v>0</v>
      </c>
      <c r="B42" t="str">
        <f t="shared" si="2"/>
        <v/>
      </c>
      <c r="C42" s="170" t="s">
        <v>1940</v>
      </c>
      <c r="D42" s="171">
        <v>1</v>
      </c>
      <c r="E42" s="172"/>
      <c r="F42" s="173"/>
      <c r="G42" s="173"/>
      <c r="H42" s="174"/>
      <c r="I42" s="175" t="s">
        <v>1940</v>
      </c>
      <c r="J42" s="175" t="s">
        <v>1940</v>
      </c>
      <c r="K42" s="175" t="s">
        <v>1940</v>
      </c>
      <c r="L42" s="176"/>
      <c r="M42" s="177" t="s">
        <v>1940</v>
      </c>
      <c r="N42" s="177" t="s">
        <v>1940</v>
      </c>
      <c r="O42" s="178"/>
      <c r="P42" s="179" t="s">
        <v>1940</v>
      </c>
      <c r="Q42" s="179" t="s">
        <v>1940</v>
      </c>
      <c r="R42" s="180"/>
      <c r="S42" s="250">
        <v>0</v>
      </c>
      <c r="T42" s="251">
        <v>0</v>
      </c>
      <c r="U42" s="251">
        <v>0</v>
      </c>
      <c r="V42" s="251">
        <v>0</v>
      </c>
      <c r="W42" s="251">
        <v>0</v>
      </c>
      <c r="X42" s="251">
        <v>0</v>
      </c>
      <c r="Y42" s="251">
        <v>0</v>
      </c>
      <c r="Z42" s="251">
        <v>0</v>
      </c>
      <c r="AA42" s="251">
        <v>0</v>
      </c>
      <c r="AB42" s="251">
        <v>0</v>
      </c>
      <c r="AC42" s="251">
        <v>0</v>
      </c>
      <c r="AD42" s="252">
        <v>0</v>
      </c>
      <c r="AE42" s="181"/>
      <c r="AF42" s="253">
        <f t="shared" si="3"/>
        <v>0</v>
      </c>
      <c r="AH42" s="178"/>
      <c r="AI42" s="182"/>
      <c r="AJ42" s="183" t="s">
        <v>1940</v>
      </c>
      <c r="AK42" s="178"/>
      <c r="AL42" s="174"/>
      <c r="AM42" s="254"/>
      <c r="AN42" s="184"/>
      <c r="AO42" s="255" t="s">
        <v>2</v>
      </c>
      <c r="AP42" s="256"/>
      <c r="AQ42" s="254"/>
      <c r="AR42" s="257" t="str">
        <f t="shared" si="4"/>
        <v/>
      </c>
      <c r="AS42" s="257" t="str">
        <f>IFERROR(VLOOKUP($AR42,[23]TruckCenterReference!$C$23:$I74,3,FALSE), "")</f>
        <v/>
      </c>
      <c r="AT42" s="185" t="str">
        <f t="shared" si="5"/>
        <v/>
      </c>
      <c r="AU42" s="186"/>
      <c r="AV42" s="258" t="str">
        <f>IFERROR(VLOOKUP($AR42,[23]TruckCenterReference!$C$23:$I74,4,FALSE), "")</f>
        <v/>
      </c>
      <c r="AW42" s="185" t="str">
        <f t="shared" si="6"/>
        <v/>
      </c>
      <c r="AY42" s="257" t="str">
        <f t="shared" si="7"/>
        <v/>
      </c>
      <c r="AZ42" s="187" t="str">
        <f>IFERROR(VLOOKUP($AR42,[23]TruckCenterReference!$C$23:$I74,6,FALSE), "")</f>
        <v/>
      </c>
      <c r="BA42" s="185" t="str">
        <f t="shared" si="8"/>
        <v/>
      </c>
      <c r="BB42" s="186"/>
      <c r="BC42" s="258">
        <f>IFERROR(VLOOKUP($AR42,[23]TruckCenterReference!$C$23:$I74,7,FALSE), 0)</f>
        <v>0</v>
      </c>
      <c r="BD42" s="259">
        <f>IFERROR(VLOOKUP($AR42,[23]TruckCenterReference!$C$23:$K74,9,FALSE), 0)</f>
        <v>0</v>
      </c>
      <c r="BE42" s="258">
        <f>IFERROR(VLOOKUP($AR42,[23]TruckCenterReference!$C$23:$K74,8,FALSE), 0)</f>
        <v>0</v>
      </c>
      <c r="BF42" s="260" t="str">
        <f t="shared" si="9"/>
        <v/>
      </c>
      <c r="BG42" s="185" t="str">
        <f t="shared" si="10"/>
        <v/>
      </c>
    </row>
    <row r="43" spans="1:62">
      <c r="A43" t="b">
        <f t="shared" si="1"/>
        <v>0</v>
      </c>
      <c r="B43" t="str">
        <f t="shared" si="2"/>
        <v/>
      </c>
      <c r="C43" s="170" t="s">
        <v>1940</v>
      </c>
      <c r="D43" s="171">
        <v>1</v>
      </c>
      <c r="E43" s="172"/>
      <c r="F43" s="173"/>
      <c r="G43" s="173"/>
      <c r="H43" s="174"/>
      <c r="I43" s="175" t="s">
        <v>1940</v>
      </c>
      <c r="J43" s="175" t="s">
        <v>1940</v>
      </c>
      <c r="K43" s="175" t="s">
        <v>1940</v>
      </c>
      <c r="L43" s="176"/>
      <c r="M43" s="177" t="s">
        <v>1940</v>
      </c>
      <c r="N43" s="177" t="s">
        <v>1940</v>
      </c>
      <c r="O43" s="178"/>
      <c r="P43" s="179" t="s">
        <v>1940</v>
      </c>
      <c r="Q43" s="179" t="s">
        <v>1940</v>
      </c>
      <c r="R43" s="180"/>
      <c r="S43" s="250">
        <v>0</v>
      </c>
      <c r="T43" s="251">
        <v>0</v>
      </c>
      <c r="U43" s="251">
        <v>0</v>
      </c>
      <c r="V43" s="251">
        <v>0</v>
      </c>
      <c r="W43" s="251">
        <v>0</v>
      </c>
      <c r="X43" s="251">
        <v>0</v>
      </c>
      <c r="Y43" s="251">
        <v>0</v>
      </c>
      <c r="Z43" s="251">
        <v>0</v>
      </c>
      <c r="AA43" s="251">
        <v>0</v>
      </c>
      <c r="AB43" s="251">
        <v>0</v>
      </c>
      <c r="AC43" s="251">
        <v>0</v>
      </c>
      <c r="AD43" s="252">
        <v>0</v>
      </c>
      <c r="AE43" s="181"/>
      <c r="AF43" s="253">
        <f t="shared" si="3"/>
        <v>0</v>
      </c>
      <c r="AH43" s="178"/>
      <c r="AI43" s="182"/>
      <c r="AJ43" s="183" t="s">
        <v>1940</v>
      </c>
      <c r="AK43" s="178"/>
      <c r="AL43" s="174"/>
      <c r="AM43" s="254"/>
      <c r="AN43" s="184"/>
      <c r="AO43" s="255" t="s">
        <v>2</v>
      </c>
      <c r="AP43" s="256"/>
      <c r="AQ43" s="254"/>
      <c r="AR43" s="257" t="str">
        <f t="shared" si="4"/>
        <v/>
      </c>
      <c r="AS43" s="257" t="str">
        <f>IFERROR(VLOOKUP($AR43,[23]TruckCenterReference!$C$23:$I75,3,FALSE), "")</f>
        <v/>
      </c>
      <c r="AT43" s="185" t="str">
        <f t="shared" si="5"/>
        <v/>
      </c>
      <c r="AU43" s="186"/>
      <c r="AV43" s="258" t="str">
        <f>IFERROR(VLOOKUP($AR43,[23]TruckCenterReference!$C$23:$I75,4,FALSE), "")</f>
        <v/>
      </c>
      <c r="AW43" s="185" t="str">
        <f t="shared" si="6"/>
        <v/>
      </c>
      <c r="AY43" s="257" t="str">
        <f t="shared" si="7"/>
        <v/>
      </c>
      <c r="AZ43" s="187" t="str">
        <f>IFERROR(VLOOKUP($AR43,[23]TruckCenterReference!$C$23:$I75,6,FALSE), "")</f>
        <v/>
      </c>
      <c r="BA43" s="185" t="str">
        <f t="shared" si="8"/>
        <v/>
      </c>
      <c r="BB43" s="186"/>
      <c r="BC43" s="258">
        <f>IFERROR(VLOOKUP($AR43,[23]TruckCenterReference!$C$23:$I75,7,FALSE), 0)</f>
        <v>0</v>
      </c>
      <c r="BD43" s="259">
        <f>IFERROR(VLOOKUP($AR43,[23]TruckCenterReference!$C$23:$K75,9,FALSE), 0)</f>
        <v>0</v>
      </c>
      <c r="BE43" s="258">
        <f>IFERROR(VLOOKUP($AR43,[23]TruckCenterReference!$C$23:$K75,8,FALSE), 0)</f>
        <v>0</v>
      </c>
      <c r="BF43" s="260" t="str">
        <f t="shared" si="9"/>
        <v/>
      </c>
      <c r="BG43" s="185" t="str">
        <f t="shared" si="10"/>
        <v/>
      </c>
    </row>
    <row r="44" spans="1:62">
      <c r="A44" t="b">
        <f t="shared" si="1"/>
        <v>0</v>
      </c>
      <c r="B44" t="str">
        <f t="shared" si="2"/>
        <v/>
      </c>
      <c r="C44" s="170" t="s">
        <v>1940</v>
      </c>
      <c r="D44" s="171">
        <v>1</v>
      </c>
      <c r="E44" s="172"/>
      <c r="F44" s="173"/>
      <c r="G44" s="173"/>
      <c r="H44" s="174"/>
      <c r="I44" s="175" t="s">
        <v>1940</v>
      </c>
      <c r="J44" s="175" t="s">
        <v>1940</v>
      </c>
      <c r="K44" s="175" t="s">
        <v>1940</v>
      </c>
      <c r="L44" s="176"/>
      <c r="M44" s="177" t="s">
        <v>1940</v>
      </c>
      <c r="N44" s="177" t="s">
        <v>1940</v>
      </c>
      <c r="O44" s="178"/>
      <c r="P44" s="179" t="s">
        <v>1940</v>
      </c>
      <c r="Q44" s="179" t="s">
        <v>1940</v>
      </c>
      <c r="R44" s="180"/>
      <c r="S44" s="250">
        <v>0</v>
      </c>
      <c r="T44" s="251">
        <v>0</v>
      </c>
      <c r="U44" s="251">
        <v>0</v>
      </c>
      <c r="V44" s="251">
        <v>0</v>
      </c>
      <c r="W44" s="251">
        <v>0</v>
      </c>
      <c r="X44" s="251">
        <v>0</v>
      </c>
      <c r="Y44" s="251">
        <v>0</v>
      </c>
      <c r="Z44" s="251">
        <v>0</v>
      </c>
      <c r="AA44" s="251">
        <v>0</v>
      </c>
      <c r="AB44" s="251">
        <v>0</v>
      </c>
      <c r="AC44" s="251">
        <v>0</v>
      </c>
      <c r="AD44" s="252">
        <v>0</v>
      </c>
      <c r="AE44" s="181"/>
      <c r="AF44" s="253">
        <f t="shared" si="3"/>
        <v>0</v>
      </c>
      <c r="AH44" s="178"/>
      <c r="AI44" s="182"/>
      <c r="AJ44" s="183" t="s">
        <v>1940</v>
      </c>
      <c r="AK44" s="178"/>
      <c r="AL44" s="174"/>
      <c r="AM44" s="254"/>
      <c r="AN44" s="184"/>
      <c r="AO44" s="255" t="s">
        <v>2</v>
      </c>
      <c r="AP44" s="256"/>
      <c r="AQ44" s="254"/>
      <c r="AR44" s="257" t="str">
        <f t="shared" si="4"/>
        <v/>
      </c>
      <c r="AS44" s="257" t="str">
        <f>IFERROR(VLOOKUP($AR44,[23]TruckCenterReference!$C$23:$I76,3,FALSE), "")</f>
        <v/>
      </c>
      <c r="AT44" s="185" t="str">
        <f t="shared" si="5"/>
        <v/>
      </c>
      <c r="AU44" s="186"/>
      <c r="AV44" s="258" t="str">
        <f>IFERROR(VLOOKUP($AR44,[23]TruckCenterReference!$C$23:$I76,4,FALSE), "")</f>
        <v/>
      </c>
      <c r="AW44" s="185" t="str">
        <f t="shared" si="6"/>
        <v/>
      </c>
      <c r="AY44" s="257" t="str">
        <f t="shared" si="7"/>
        <v/>
      </c>
      <c r="AZ44" s="187" t="str">
        <f>IFERROR(VLOOKUP($AR44,[23]TruckCenterReference!$C$23:$I76,6,FALSE), "")</f>
        <v/>
      </c>
      <c r="BA44" s="185" t="str">
        <f t="shared" si="8"/>
        <v/>
      </c>
      <c r="BB44" s="186"/>
      <c r="BC44" s="258">
        <f>IFERROR(VLOOKUP($AR44,[23]TruckCenterReference!$C$23:$I76,7,FALSE), 0)</f>
        <v>0</v>
      </c>
      <c r="BD44" s="259">
        <f>IFERROR(VLOOKUP($AR44,[23]TruckCenterReference!$C$23:$K76,9,FALSE), 0)</f>
        <v>0</v>
      </c>
      <c r="BE44" s="258">
        <f>IFERROR(VLOOKUP($AR44,[23]TruckCenterReference!$C$23:$K76,8,FALSE), 0)</f>
        <v>0</v>
      </c>
      <c r="BF44" s="260" t="str">
        <f t="shared" si="9"/>
        <v/>
      </c>
      <c r="BG44" s="185" t="str">
        <f t="shared" si="10"/>
        <v/>
      </c>
    </row>
    <row r="45" spans="1:62">
      <c r="A45" t="b">
        <f t="shared" si="1"/>
        <v>0</v>
      </c>
      <c r="B45" t="str">
        <f t="shared" si="2"/>
        <v/>
      </c>
      <c r="C45" s="170" t="s">
        <v>1940</v>
      </c>
      <c r="D45" s="171">
        <v>1</v>
      </c>
      <c r="E45" s="172"/>
      <c r="F45" s="173"/>
      <c r="G45" s="173"/>
      <c r="H45" s="174"/>
      <c r="I45" s="175" t="s">
        <v>1940</v>
      </c>
      <c r="J45" s="175" t="s">
        <v>1940</v>
      </c>
      <c r="K45" s="175" t="s">
        <v>1940</v>
      </c>
      <c r="L45" s="176"/>
      <c r="M45" s="177" t="s">
        <v>1940</v>
      </c>
      <c r="N45" s="177" t="s">
        <v>1940</v>
      </c>
      <c r="O45" s="178"/>
      <c r="P45" s="179" t="s">
        <v>1940</v>
      </c>
      <c r="Q45" s="179" t="s">
        <v>1940</v>
      </c>
      <c r="R45" s="180"/>
      <c r="S45" s="250">
        <v>0</v>
      </c>
      <c r="T45" s="251">
        <v>0</v>
      </c>
      <c r="U45" s="251">
        <v>0</v>
      </c>
      <c r="V45" s="251">
        <v>0</v>
      </c>
      <c r="W45" s="251">
        <v>0</v>
      </c>
      <c r="X45" s="251">
        <v>0</v>
      </c>
      <c r="Y45" s="251">
        <v>0</v>
      </c>
      <c r="Z45" s="251">
        <v>0</v>
      </c>
      <c r="AA45" s="251">
        <v>0</v>
      </c>
      <c r="AB45" s="251">
        <v>0</v>
      </c>
      <c r="AC45" s="251">
        <v>0</v>
      </c>
      <c r="AD45" s="252">
        <v>0</v>
      </c>
      <c r="AE45" s="181"/>
      <c r="AF45" s="253">
        <f t="shared" si="3"/>
        <v>0</v>
      </c>
      <c r="AH45" s="178"/>
      <c r="AI45" s="182"/>
      <c r="AJ45" s="183" t="s">
        <v>1940</v>
      </c>
      <c r="AK45" s="178"/>
      <c r="AL45" s="174"/>
      <c r="AM45" s="254"/>
      <c r="AN45" s="184"/>
      <c r="AO45" s="255" t="s">
        <v>2</v>
      </c>
      <c r="AP45" s="256"/>
      <c r="AQ45" s="254"/>
      <c r="AR45" s="257" t="str">
        <f t="shared" si="4"/>
        <v/>
      </c>
      <c r="AS45" s="257" t="str">
        <f>IFERROR(VLOOKUP($AR45,[23]TruckCenterReference!$C$23:$I77,3,FALSE), "")</f>
        <v/>
      </c>
      <c r="AT45" s="185" t="str">
        <f t="shared" si="5"/>
        <v/>
      </c>
      <c r="AU45" s="186"/>
      <c r="AV45" s="258" t="str">
        <f>IFERROR(VLOOKUP($AR45,[23]TruckCenterReference!$C$23:$I77,4,FALSE), "")</f>
        <v/>
      </c>
      <c r="AW45" s="185" t="str">
        <f t="shared" si="6"/>
        <v/>
      </c>
      <c r="AY45" s="257" t="str">
        <f t="shared" si="7"/>
        <v/>
      </c>
      <c r="AZ45" s="187" t="str">
        <f>IFERROR(VLOOKUP($AR45,[23]TruckCenterReference!$C$23:$I77,6,FALSE), "")</f>
        <v/>
      </c>
      <c r="BA45" s="185" t="str">
        <f t="shared" si="8"/>
        <v/>
      </c>
      <c r="BB45" s="186"/>
      <c r="BC45" s="258">
        <f>IFERROR(VLOOKUP($AR45,[23]TruckCenterReference!$C$23:$I77,7,FALSE), 0)</f>
        <v>0</v>
      </c>
      <c r="BD45" s="259">
        <f>IFERROR(VLOOKUP($AR45,[23]TruckCenterReference!$C$23:$K77,9,FALSE), 0)</f>
        <v>0</v>
      </c>
      <c r="BE45" s="258">
        <f>IFERROR(VLOOKUP($AR45,[23]TruckCenterReference!$C$23:$K77,8,FALSE), 0)</f>
        <v>0</v>
      </c>
      <c r="BF45" s="260" t="str">
        <f t="shared" si="9"/>
        <v/>
      </c>
      <c r="BG45" s="185" t="str">
        <f t="shared" si="10"/>
        <v/>
      </c>
    </row>
    <row r="46" spans="1:62">
      <c r="A46" t="b">
        <f t="shared" si="1"/>
        <v>0</v>
      </c>
      <c r="B46" t="str">
        <f t="shared" si="2"/>
        <v/>
      </c>
      <c r="C46" s="170" t="s">
        <v>1940</v>
      </c>
      <c r="D46" s="171">
        <v>1</v>
      </c>
      <c r="E46" s="172"/>
      <c r="F46" s="173"/>
      <c r="G46" s="173"/>
      <c r="H46" s="174"/>
      <c r="I46" s="175" t="s">
        <v>1940</v>
      </c>
      <c r="J46" s="175" t="s">
        <v>1940</v>
      </c>
      <c r="K46" s="175" t="s">
        <v>1940</v>
      </c>
      <c r="L46" s="176"/>
      <c r="M46" s="177" t="s">
        <v>1940</v>
      </c>
      <c r="N46" s="177" t="s">
        <v>1940</v>
      </c>
      <c r="O46" s="178"/>
      <c r="P46" s="179" t="s">
        <v>1940</v>
      </c>
      <c r="Q46" s="179" t="s">
        <v>1940</v>
      </c>
      <c r="R46" s="180"/>
      <c r="S46" s="250">
        <v>0</v>
      </c>
      <c r="T46" s="251">
        <v>0</v>
      </c>
      <c r="U46" s="251">
        <v>0</v>
      </c>
      <c r="V46" s="251">
        <v>0</v>
      </c>
      <c r="W46" s="251">
        <v>0</v>
      </c>
      <c r="X46" s="251">
        <v>0</v>
      </c>
      <c r="Y46" s="251">
        <v>0</v>
      </c>
      <c r="Z46" s="251">
        <v>0</v>
      </c>
      <c r="AA46" s="251">
        <v>0</v>
      </c>
      <c r="AB46" s="251">
        <v>0</v>
      </c>
      <c r="AC46" s="251">
        <v>0</v>
      </c>
      <c r="AD46" s="252">
        <v>0</v>
      </c>
      <c r="AE46" s="181"/>
      <c r="AF46" s="253">
        <f t="shared" si="3"/>
        <v>0</v>
      </c>
      <c r="AH46" s="178"/>
      <c r="AI46" s="182"/>
      <c r="AJ46" s="183" t="s">
        <v>1940</v>
      </c>
      <c r="AK46" s="178"/>
      <c r="AL46" s="174"/>
      <c r="AM46" s="254"/>
      <c r="AN46" s="184"/>
      <c r="AO46" s="255" t="s">
        <v>2</v>
      </c>
      <c r="AP46" s="256"/>
      <c r="AQ46" s="254"/>
      <c r="AR46" s="257" t="str">
        <f t="shared" si="4"/>
        <v/>
      </c>
      <c r="AS46" s="257" t="str">
        <f>IFERROR(VLOOKUP($AR46,[23]TruckCenterReference!$C$23:$I78,3,FALSE), "")</f>
        <v/>
      </c>
      <c r="AT46" s="185" t="str">
        <f t="shared" si="5"/>
        <v/>
      </c>
      <c r="AU46" s="186"/>
      <c r="AV46" s="258" t="str">
        <f>IFERROR(VLOOKUP($AR46,[23]TruckCenterReference!$C$23:$I78,4,FALSE), "")</f>
        <v/>
      </c>
      <c r="AW46" s="185" t="str">
        <f t="shared" si="6"/>
        <v/>
      </c>
      <c r="AY46" s="257" t="str">
        <f t="shared" si="7"/>
        <v/>
      </c>
      <c r="AZ46" s="187" t="str">
        <f>IFERROR(VLOOKUP($AR46,[23]TruckCenterReference!$C$23:$I78,6,FALSE), "")</f>
        <v/>
      </c>
      <c r="BA46" s="185" t="str">
        <f t="shared" si="8"/>
        <v/>
      </c>
      <c r="BB46" s="186"/>
      <c r="BC46" s="258">
        <f>IFERROR(VLOOKUP($AR46,[23]TruckCenterReference!$C$23:$I78,7,FALSE), 0)</f>
        <v>0</v>
      </c>
      <c r="BD46" s="259">
        <f>IFERROR(VLOOKUP($AR46,[23]TruckCenterReference!$C$23:$K78,9,FALSE), 0)</f>
        <v>0</v>
      </c>
      <c r="BE46" s="258">
        <f>IFERROR(VLOOKUP($AR46,[23]TruckCenterReference!$C$23:$K78,8,FALSE), 0)</f>
        <v>0</v>
      </c>
      <c r="BF46" s="260" t="str">
        <f t="shared" si="9"/>
        <v/>
      </c>
      <c r="BG46" s="185" t="str">
        <f t="shared" si="10"/>
        <v/>
      </c>
    </row>
    <row r="47" spans="1:62">
      <c r="A47" t="b">
        <f t="shared" si="1"/>
        <v>0</v>
      </c>
      <c r="B47" t="str">
        <f t="shared" si="2"/>
        <v/>
      </c>
      <c r="C47" s="170" t="s">
        <v>1940</v>
      </c>
      <c r="D47" s="171">
        <v>1</v>
      </c>
      <c r="E47" s="172"/>
      <c r="F47" s="173"/>
      <c r="G47" s="173"/>
      <c r="H47" s="174"/>
      <c r="I47" s="175" t="s">
        <v>1940</v>
      </c>
      <c r="J47" s="175" t="s">
        <v>1940</v>
      </c>
      <c r="K47" s="175" t="s">
        <v>1940</v>
      </c>
      <c r="L47" s="176"/>
      <c r="M47" s="177" t="s">
        <v>1940</v>
      </c>
      <c r="N47" s="177" t="s">
        <v>1940</v>
      </c>
      <c r="O47" s="178"/>
      <c r="P47" s="179" t="s">
        <v>1940</v>
      </c>
      <c r="Q47" s="179" t="s">
        <v>1940</v>
      </c>
      <c r="R47" s="180"/>
      <c r="S47" s="250">
        <v>0</v>
      </c>
      <c r="T47" s="251">
        <v>0</v>
      </c>
      <c r="U47" s="251">
        <v>0</v>
      </c>
      <c r="V47" s="251">
        <v>0</v>
      </c>
      <c r="W47" s="251">
        <v>0</v>
      </c>
      <c r="X47" s="251">
        <v>0</v>
      </c>
      <c r="Y47" s="251">
        <v>0</v>
      </c>
      <c r="Z47" s="251">
        <v>0</v>
      </c>
      <c r="AA47" s="251">
        <v>0</v>
      </c>
      <c r="AB47" s="251">
        <v>0</v>
      </c>
      <c r="AC47" s="251">
        <v>0</v>
      </c>
      <c r="AD47" s="252">
        <v>0</v>
      </c>
      <c r="AE47" s="181"/>
      <c r="AF47" s="253">
        <f t="shared" si="3"/>
        <v>0</v>
      </c>
      <c r="AH47" s="178"/>
      <c r="AI47" s="182"/>
      <c r="AJ47" s="183" t="s">
        <v>1940</v>
      </c>
      <c r="AK47" s="178"/>
      <c r="AL47" s="174"/>
      <c r="AM47" s="254"/>
      <c r="AN47" s="184"/>
      <c r="AO47" s="255" t="s">
        <v>2</v>
      </c>
      <c r="AP47" s="256"/>
      <c r="AQ47" s="254"/>
      <c r="AR47" s="257" t="str">
        <f t="shared" si="4"/>
        <v/>
      </c>
      <c r="AS47" s="257" t="str">
        <f>IFERROR(VLOOKUP($AR47,[23]TruckCenterReference!$C$23:$I79,3,FALSE), "")</f>
        <v/>
      </c>
      <c r="AT47" s="185" t="str">
        <f t="shared" si="5"/>
        <v/>
      </c>
      <c r="AU47" s="186"/>
      <c r="AV47" s="258" t="str">
        <f>IFERROR(VLOOKUP($AR47,[23]TruckCenterReference!$C$23:$I79,4,FALSE), "")</f>
        <v/>
      </c>
      <c r="AW47" s="185" t="str">
        <f t="shared" si="6"/>
        <v/>
      </c>
      <c r="AY47" s="257" t="str">
        <f t="shared" si="7"/>
        <v/>
      </c>
      <c r="AZ47" s="187" t="str">
        <f>IFERROR(VLOOKUP($AR47,[23]TruckCenterReference!$C$23:$I79,6,FALSE), "")</f>
        <v/>
      </c>
      <c r="BA47" s="185" t="str">
        <f t="shared" si="8"/>
        <v/>
      </c>
      <c r="BB47" s="186"/>
      <c r="BC47" s="258">
        <f>IFERROR(VLOOKUP($AR47,[23]TruckCenterReference!$C$23:$I79,7,FALSE), 0)</f>
        <v>0</v>
      </c>
      <c r="BD47" s="259">
        <f>IFERROR(VLOOKUP($AR47,[23]TruckCenterReference!$C$23:$K79,9,FALSE), 0)</f>
        <v>0</v>
      </c>
      <c r="BE47" s="258">
        <f>IFERROR(VLOOKUP($AR47,[23]TruckCenterReference!$C$23:$K79,8,FALSE), 0)</f>
        <v>0</v>
      </c>
      <c r="BF47" s="260" t="str">
        <f t="shared" si="9"/>
        <v/>
      </c>
      <c r="BG47" s="185" t="str">
        <f t="shared" si="10"/>
        <v/>
      </c>
    </row>
    <row r="48" spans="1:62">
      <c r="A48" t="b">
        <f t="shared" si="1"/>
        <v>0</v>
      </c>
      <c r="B48" t="str">
        <f t="shared" si="2"/>
        <v/>
      </c>
      <c r="C48" s="170" t="s">
        <v>1940</v>
      </c>
      <c r="D48" s="171">
        <v>1</v>
      </c>
      <c r="E48" s="172"/>
      <c r="F48" s="173"/>
      <c r="G48" s="173"/>
      <c r="H48" s="174"/>
      <c r="I48" s="175" t="s">
        <v>1940</v>
      </c>
      <c r="J48" s="175" t="s">
        <v>1940</v>
      </c>
      <c r="K48" s="175" t="s">
        <v>1940</v>
      </c>
      <c r="L48" s="176"/>
      <c r="M48" s="177" t="s">
        <v>1940</v>
      </c>
      <c r="N48" s="177" t="s">
        <v>1940</v>
      </c>
      <c r="O48" s="178"/>
      <c r="P48" s="179" t="s">
        <v>1940</v>
      </c>
      <c r="Q48" s="179" t="s">
        <v>1940</v>
      </c>
      <c r="R48" s="180"/>
      <c r="S48" s="250">
        <v>0</v>
      </c>
      <c r="T48" s="251">
        <v>0</v>
      </c>
      <c r="U48" s="251">
        <v>0</v>
      </c>
      <c r="V48" s="251">
        <v>0</v>
      </c>
      <c r="W48" s="251">
        <v>0</v>
      </c>
      <c r="X48" s="251">
        <v>0</v>
      </c>
      <c r="Y48" s="251">
        <v>0</v>
      </c>
      <c r="Z48" s="251">
        <v>0</v>
      </c>
      <c r="AA48" s="251">
        <v>0</v>
      </c>
      <c r="AB48" s="251">
        <v>0</v>
      </c>
      <c r="AC48" s="251">
        <v>0</v>
      </c>
      <c r="AD48" s="252">
        <v>0</v>
      </c>
      <c r="AE48" s="181"/>
      <c r="AF48" s="253">
        <f t="shared" si="3"/>
        <v>0</v>
      </c>
      <c r="AH48" s="178"/>
      <c r="AI48" s="182"/>
      <c r="AJ48" s="183" t="s">
        <v>1940</v>
      </c>
      <c r="AK48" s="178"/>
      <c r="AL48" s="174"/>
      <c r="AM48" s="254"/>
      <c r="AN48" s="184"/>
      <c r="AO48" s="255" t="s">
        <v>2</v>
      </c>
      <c r="AP48" s="256"/>
      <c r="AQ48" s="254"/>
      <c r="AR48" s="257" t="str">
        <f t="shared" si="4"/>
        <v/>
      </c>
      <c r="AS48" s="257" t="str">
        <f>IFERROR(VLOOKUP($AR48,[23]TruckCenterReference!$C$23:$I80,3,FALSE), "")</f>
        <v/>
      </c>
      <c r="AT48" s="185" t="str">
        <f t="shared" si="5"/>
        <v/>
      </c>
      <c r="AU48" s="186"/>
      <c r="AV48" s="258" t="str">
        <f>IFERROR(VLOOKUP($AR48,[23]TruckCenterReference!$C$23:$I80,4,FALSE), "")</f>
        <v/>
      </c>
      <c r="AW48" s="185" t="str">
        <f t="shared" si="6"/>
        <v/>
      </c>
      <c r="AY48" s="257" t="str">
        <f t="shared" si="7"/>
        <v/>
      </c>
      <c r="AZ48" s="187" t="str">
        <f>IFERROR(VLOOKUP($AR48,[23]TruckCenterReference!$C$23:$I80,6,FALSE), "")</f>
        <v/>
      </c>
      <c r="BA48" s="185" t="str">
        <f t="shared" si="8"/>
        <v/>
      </c>
      <c r="BB48" s="186"/>
      <c r="BC48" s="258">
        <f>IFERROR(VLOOKUP($AR48,[23]TruckCenterReference!$C$23:$I80,7,FALSE), 0)</f>
        <v>0</v>
      </c>
      <c r="BD48" s="259">
        <f>IFERROR(VLOOKUP($AR48,[23]TruckCenterReference!$C$23:$K80,9,FALSE), 0)</f>
        <v>0</v>
      </c>
      <c r="BE48" s="258">
        <f>IFERROR(VLOOKUP($AR48,[23]TruckCenterReference!$C$23:$K80,8,FALSE), 0)</f>
        <v>0</v>
      </c>
      <c r="BF48" s="260" t="str">
        <f t="shared" si="9"/>
        <v/>
      </c>
      <c r="BG48" s="185" t="str">
        <f t="shared" si="10"/>
        <v/>
      </c>
    </row>
    <row r="49" spans="1:59">
      <c r="A49" t="b">
        <f t="shared" si="1"/>
        <v>0</v>
      </c>
      <c r="B49" t="str">
        <f t="shared" si="2"/>
        <v/>
      </c>
      <c r="C49" s="170" t="s">
        <v>1940</v>
      </c>
      <c r="D49" s="171">
        <v>1</v>
      </c>
      <c r="E49" s="172"/>
      <c r="F49" s="173"/>
      <c r="G49" s="173"/>
      <c r="H49" s="174"/>
      <c r="I49" s="175" t="s">
        <v>1940</v>
      </c>
      <c r="J49" s="175" t="s">
        <v>1940</v>
      </c>
      <c r="K49" s="175" t="s">
        <v>1940</v>
      </c>
      <c r="L49" s="176"/>
      <c r="M49" s="177" t="s">
        <v>1940</v>
      </c>
      <c r="N49" s="177" t="s">
        <v>1940</v>
      </c>
      <c r="O49" s="178"/>
      <c r="P49" s="179" t="s">
        <v>1940</v>
      </c>
      <c r="Q49" s="179" t="s">
        <v>1940</v>
      </c>
      <c r="R49" s="180"/>
      <c r="S49" s="250">
        <v>0</v>
      </c>
      <c r="T49" s="251">
        <v>0</v>
      </c>
      <c r="U49" s="251">
        <v>0</v>
      </c>
      <c r="V49" s="251">
        <v>0</v>
      </c>
      <c r="W49" s="251">
        <v>0</v>
      </c>
      <c r="X49" s="251">
        <v>0</v>
      </c>
      <c r="Y49" s="251">
        <v>0</v>
      </c>
      <c r="Z49" s="251">
        <v>0</v>
      </c>
      <c r="AA49" s="251">
        <v>0</v>
      </c>
      <c r="AB49" s="251">
        <v>0</v>
      </c>
      <c r="AC49" s="251">
        <v>0</v>
      </c>
      <c r="AD49" s="252">
        <v>0</v>
      </c>
      <c r="AE49" s="181"/>
      <c r="AF49" s="253">
        <f t="shared" si="3"/>
        <v>0</v>
      </c>
      <c r="AH49" s="178"/>
      <c r="AI49" s="182"/>
      <c r="AJ49" s="183" t="s">
        <v>1940</v>
      </c>
      <c r="AK49" s="178"/>
      <c r="AL49" s="174"/>
      <c r="AM49" s="254"/>
      <c r="AN49" s="184"/>
      <c r="AO49" s="255" t="s">
        <v>2</v>
      </c>
      <c r="AP49" s="256"/>
      <c r="AQ49" s="254"/>
      <c r="AR49" s="257" t="str">
        <f t="shared" si="4"/>
        <v/>
      </c>
      <c r="AS49" s="257" t="str">
        <f>IFERROR(VLOOKUP($AR49,[23]TruckCenterReference!$C$23:$I81,3,FALSE), "")</f>
        <v/>
      </c>
      <c r="AT49" s="185" t="str">
        <f t="shared" si="5"/>
        <v/>
      </c>
      <c r="AU49" s="186"/>
      <c r="AV49" s="258" t="str">
        <f>IFERROR(VLOOKUP($AR49,[23]TruckCenterReference!$C$23:$I81,4,FALSE), "")</f>
        <v/>
      </c>
      <c r="AW49" s="185" t="str">
        <f t="shared" si="6"/>
        <v/>
      </c>
      <c r="AY49" s="257" t="str">
        <f t="shared" si="7"/>
        <v/>
      </c>
      <c r="AZ49" s="187" t="str">
        <f>IFERROR(VLOOKUP($AR49,[23]TruckCenterReference!$C$23:$I81,6,FALSE), "")</f>
        <v/>
      </c>
      <c r="BA49" s="185" t="str">
        <f t="shared" si="8"/>
        <v/>
      </c>
      <c r="BB49" s="186"/>
      <c r="BC49" s="258">
        <f>IFERROR(VLOOKUP($AR49,[23]TruckCenterReference!$C$23:$I81,7,FALSE), 0)</f>
        <v>0</v>
      </c>
      <c r="BD49" s="259">
        <f>IFERROR(VLOOKUP($AR49,[23]TruckCenterReference!$C$23:$K81,9,FALSE), 0)</f>
        <v>0</v>
      </c>
      <c r="BE49" s="258">
        <f>IFERROR(VLOOKUP($AR49,[23]TruckCenterReference!$C$23:$K81,8,FALSE), 0)</f>
        <v>0</v>
      </c>
      <c r="BF49" s="260" t="str">
        <f t="shared" si="9"/>
        <v/>
      </c>
      <c r="BG49" s="185" t="str">
        <f t="shared" si="10"/>
        <v/>
      </c>
    </row>
    <row r="50" spans="1:59">
      <c r="A50" t="b">
        <f t="shared" si="1"/>
        <v>0</v>
      </c>
      <c r="B50" t="str">
        <f t="shared" si="2"/>
        <v/>
      </c>
      <c r="C50" s="170" t="s">
        <v>1940</v>
      </c>
      <c r="D50" s="171">
        <v>1</v>
      </c>
      <c r="E50" s="172"/>
      <c r="F50" s="173"/>
      <c r="G50" s="173"/>
      <c r="H50" s="174"/>
      <c r="I50" s="175" t="s">
        <v>1940</v>
      </c>
      <c r="J50" s="175" t="s">
        <v>1940</v>
      </c>
      <c r="K50" s="175" t="s">
        <v>1940</v>
      </c>
      <c r="L50" s="176"/>
      <c r="M50" s="177" t="s">
        <v>1940</v>
      </c>
      <c r="N50" s="177" t="s">
        <v>1940</v>
      </c>
      <c r="O50" s="178"/>
      <c r="P50" s="179" t="s">
        <v>1940</v>
      </c>
      <c r="Q50" s="179" t="s">
        <v>1940</v>
      </c>
      <c r="R50" s="180"/>
      <c r="S50" s="250">
        <v>0</v>
      </c>
      <c r="T50" s="251">
        <v>0</v>
      </c>
      <c r="U50" s="251">
        <v>0</v>
      </c>
      <c r="V50" s="251">
        <v>0</v>
      </c>
      <c r="W50" s="251">
        <v>0</v>
      </c>
      <c r="X50" s="251">
        <v>0</v>
      </c>
      <c r="Y50" s="251">
        <v>0</v>
      </c>
      <c r="Z50" s="251">
        <v>0</v>
      </c>
      <c r="AA50" s="251">
        <v>0</v>
      </c>
      <c r="AB50" s="251">
        <v>0</v>
      </c>
      <c r="AC50" s="251">
        <v>0</v>
      </c>
      <c r="AD50" s="252">
        <v>0</v>
      </c>
      <c r="AE50" s="181"/>
      <c r="AF50" s="253">
        <f t="shared" si="3"/>
        <v>0</v>
      </c>
      <c r="AH50" s="178"/>
      <c r="AI50" s="182"/>
      <c r="AJ50" s="183" t="s">
        <v>1940</v>
      </c>
      <c r="AK50" s="178"/>
      <c r="AL50" s="174"/>
      <c r="AM50" s="254"/>
      <c r="AN50" s="184"/>
      <c r="AO50" s="255" t="s">
        <v>2</v>
      </c>
      <c r="AP50" s="256"/>
      <c r="AQ50" s="254"/>
      <c r="AR50" s="257" t="str">
        <f t="shared" si="4"/>
        <v/>
      </c>
      <c r="AS50" s="257" t="str">
        <f>IFERROR(VLOOKUP($AR50,[23]TruckCenterReference!$C$23:$I82,3,FALSE), "")</f>
        <v/>
      </c>
      <c r="AT50" s="185" t="str">
        <f t="shared" si="5"/>
        <v/>
      </c>
      <c r="AU50" s="186"/>
      <c r="AV50" s="258" t="str">
        <f>IFERROR(VLOOKUP($AR50,[23]TruckCenterReference!$C$23:$I82,4,FALSE), "")</f>
        <v/>
      </c>
      <c r="AW50" s="185" t="str">
        <f t="shared" si="6"/>
        <v/>
      </c>
      <c r="AY50" s="257" t="str">
        <f t="shared" si="7"/>
        <v/>
      </c>
      <c r="AZ50" s="187" t="str">
        <f>IFERROR(VLOOKUP($AR50,[23]TruckCenterReference!$C$23:$I82,6,FALSE), "")</f>
        <v/>
      </c>
      <c r="BA50" s="185" t="str">
        <f t="shared" si="8"/>
        <v/>
      </c>
      <c r="BB50" s="186"/>
      <c r="BC50" s="258">
        <f>IFERROR(VLOOKUP($AR50,[23]TruckCenterReference!$C$23:$I82,7,FALSE), 0)</f>
        <v>0</v>
      </c>
      <c r="BD50" s="259">
        <f>IFERROR(VLOOKUP($AR50,[23]TruckCenterReference!$C$23:$K82,9,FALSE), 0)</f>
        <v>0</v>
      </c>
      <c r="BE50" s="258">
        <f>IFERROR(VLOOKUP($AR50,[23]TruckCenterReference!$C$23:$K82,8,FALSE), 0)</f>
        <v>0</v>
      </c>
      <c r="BF50" s="260" t="str">
        <f t="shared" si="9"/>
        <v/>
      </c>
      <c r="BG50" s="185" t="str">
        <f t="shared" si="10"/>
        <v/>
      </c>
    </row>
    <row r="51" spans="1:59">
      <c r="A51" t="b">
        <f t="shared" si="1"/>
        <v>0</v>
      </c>
      <c r="B51" t="str">
        <f t="shared" si="2"/>
        <v/>
      </c>
      <c r="C51" s="170" t="s">
        <v>1940</v>
      </c>
      <c r="D51" s="171">
        <v>1</v>
      </c>
      <c r="E51" s="172"/>
      <c r="F51" s="173"/>
      <c r="G51" s="173"/>
      <c r="H51" s="174"/>
      <c r="I51" s="175" t="s">
        <v>1940</v>
      </c>
      <c r="J51" s="175" t="s">
        <v>1940</v>
      </c>
      <c r="K51" s="175" t="s">
        <v>1940</v>
      </c>
      <c r="L51" s="176"/>
      <c r="M51" s="177" t="s">
        <v>1940</v>
      </c>
      <c r="N51" s="177" t="s">
        <v>1940</v>
      </c>
      <c r="O51" s="178"/>
      <c r="P51" s="179" t="s">
        <v>1940</v>
      </c>
      <c r="Q51" s="179" t="s">
        <v>1940</v>
      </c>
      <c r="R51" s="180"/>
      <c r="S51" s="250">
        <v>0</v>
      </c>
      <c r="T51" s="251">
        <v>0</v>
      </c>
      <c r="U51" s="251">
        <v>0</v>
      </c>
      <c r="V51" s="251">
        <v>0</v>
      </c>
      <c r="W51" s="251">
        <v>0</v>
      </c>
      <c r="X51" s="251">
        <v>0</v>
      </c>
      <c r="Y51" s="251">
        <v>0</v>
      </c>
      <c r="Z51" s="251">
        <v>0</v>
      </c>
      <c r="AA51" s="251">
        <v>0</v>
      </c>
      <c r="AB51" s="251">
        <v>0</v>
      </c>
      <c r="AC51" s="251">
        <v>0</v>
      </c>
      <c r="AD51" s="252">
        <v>0</v>
      </c>
      <c r="AE51" s="181"/>
      <c r="AF51" s="253">
        <f t="shared" si="3"/>
        <v>0</v>
      </c>
      <c r="AH51" s="178"/>
      <c r="AI51" s="182"/>
      <c r="AJ51" s="183" t="s">
        <v>1940</v>
      </c>
      <c r="AK51" s="178"/>
      <c r="AL51" s="174"/>
      <c r="AM51" s="254"/>
      <c r="AN51" s="184"/>
      <c r="AO51" s="255" t="s">
        <v>2</v>
      </c>
      <c r="AP51" s="256"/>
      <c r="AQ51" s="254"/>
      <c r="AR51" s="257" t="str">
        <f t="shared" si="4"/>
        <v/>
      </c>
      <c r="AS51" s="257" t="str">
        <f>IFERROR(VLOOKUP($AR51,[23]TruckCenterReference!$C$23:$I83,3,FALSE), "")</f>
        <v/>
      </c>
      <c r="AT51" s="185" t="str">
        <f t="shared" si="5"/>
        <v/>
      </c>
      <c r="AU51" s="186"/>
      <c r="AV51" s="258" t="str">
        <f>IFERROR(VLOOKUP($AR51,[23]TruckCenterReference!$C$23:$I83,4,FALSE), "")</f>
        <v/>
      </c>
      <c r="AW51" s="185" t="str">
        <f t="shared" si="6"/>
        <v/>
      </c>
      <c r="AY51" s="257" t="str">
        <f t="shared" si="7"/>
        <v/>
      </c>
      <c r="AZ51" s="187" t="str">
        <f>IFERROR(VLOOKUP($AR51,[23]TruckCenterReference!$C$23:$I83,6,FALSE), "")</f>
        <v/>
      </c>
      <c r="BA51" s="185" t="str">
        <f t="shared" si="8"/>
        <v/>
      </c>
      <c r="BB51" s="186"/>
      <c r="BC51" s="258">
        <f>IFERROR(VLOOKUP($AR51,[23]TruckCenterReference!$C$23:$I83,7,FALSE), 0)</f>
        <v>0</v>
      </c>
      <c r="BD51" s="259">
        <f>IFERROR(VLOOKUP($AR51,[23]TruckCenterReference!$C$23:$K83,9,FALSE), 0)</f>
        <v>0</v>
      </c>
      <c r="BE51" s="258">
        <f>IFERROR(VLOOKUP($AR51,[23]TruckCenterReference!$C$23:$K83,8,FALSE), 0)</f>
        <v>0</v>
      </c>
      <c r="BF51" s="260" t="str">
        <f t="shared" si="9"/>
        <v/>
      </c>
      <c r="BG51" s="185" t="str">
        <f t="shared" si="10"/>
        <v/>
      </c>
    </row>
    <row r="52" spans="1:59">
      <c r="A52" t="b">
        <f t="shared" si="1"/>
        <v>0</v>
      </c>
      <c r="B52" t="str">
        <f t="shared" si="2"/>
        <v/>
      </c>
      <c r="C52" s="170" t="s">
        <v>1940</v>
      </c>
      <c r="D52" s="171">
        <v>1</v>
      </c>
      <c r="E52" s="172"/>
      <c r="F52" s="173"/>
      <c r="G52" s="173"/>
      <c r="H52" s="174"/>
      <c r="I52" s="175" t="s">
        <v>1940</v>
      </c>
      <c r="J52" s="175" t="s">
        <v>1940</v>
      </c>
      <c r="K52" s="175" t="s">
        <v>1940</v>
      </c>
      <c r="L52" s="176"/>
      <c r="M52" s="177" t="s">
        <v>1940</v>
      </c>
      <c r="N52" s="177" t="s">
        <v>1940</v>
      </c>
      <c r="O52" s="178"/>
      <c r="P52" s="179" t="s">
        <v>1940</v>
      </c>
      <c r="Q52" s="179" t="s">
        <v>1940</v>
      </c>
      <c r="R52" s="180"/>
      <c r="S52" s="250">
        <v>0</v>
      </c>
      <c r="T52" s="251">
        <v>0</v>
      </c>
      <c r="U52" s="251">
        <v>0</v>
      </c>
      <c r="V52" s="251">
        <v>0</v>
      </c>
      <c r="W52" s="251">
        <v>0</v>
      </c>
      <c r="X52" s="251">
        <v>0</v>
      </c>
      <c r="Y52" s="251">
        <v>0</v>
      </c>
      <c r="Z52" s="251">
        <v>0</v>
      </c>
      <c r="AA52" s="251">
        <v>0</v>
      </c>
      <c r="AB52" s="251">
        <v>0</v>
      </c>
      <c r="AC52" s="251">
        <v>0</v>
      </c>
      <c r="AD52" s="252">
        <v>0</v>
      </c>
      <c r="AE52" s="181"/>
      <c r="AF52" s="253">
        <f t="shared" si="3"/>
        <v>0</v>
      </c>
      <c r="AH52" s="178"/>
      <c r="AI52" s="182"/>
      <c r="AJ52" s="183" t="s">
        <v>1940</v>
      </c>
      <c r="AK52" s="178"/>
      <c r="AL52" s="174"/>
      <c r="AM52" s="254"/>
      <c r="AN52" s="184"/>
      <c r="AO52" s="255" t="s">
        <v>2</v>
      </c>
      <c r="AP52" s="256"/>
      <c r="AQ52" s="254"/>
      <c r="AR52" s="257" t="str">
        <f t="shared" si="4"/>
        <v/>
      </c>
      <c r="AS52" s="257" t="str">
        <f>IFERROR(VLOOKUP($AR52,[23]TruckCenterReference!$C$23:$I84,3,FALSE), "")</f>
        <v/>
      </c>
      <c r="AT52" s="185" t="str">
        <f t="shared" si="5"/>
        <v/>
      </c>
      <c r="AU52" s="186"/>
      <c r="AV52" s="258" t="str">
        <f>IFERROR(VLOOKUP($AR52,[23]TruckCenterReference!$C$23:$I84,4,FALSE), "")</f>
        <v/>
      </c>
      <c r="AW52" s="185" t="str">
        <f t="shared" si="6"/>
        <v/>
      </c>
      <c r="AY52" s="257" t="str">
        <f t="shared" si="7"/>
        <v/>
      </c>
      <c r="AZ52" s="187" t="str">
        <f>IFERROR(VLOOKUP($AR52,[23]TruckCenterReference!$C$23:$I84,6,FALSE), "")</f>
        <v/>
      </c>
      <c r="BA52" s="185" t="str">
        <f t="shared" si="8"/>
        <v/>
      </c>
      <c r="BB52" s="186"/>
      <c r="BC52" s="258">
        <f>IFERROR(VLOOKUP($AR52,[23]TruckCenterReference!$C$23:$I84,7,FALSE), 0)</f>
        <v>0</v>
      </c>
      <c r="BD52" s="259">
        <f>IFERROR(VLOOKUP($AR52,[23]TruckCenterReference!$C$23:$K84,9,FALSE), 0)</f>
        <v>0</v>
      </c>
      <c r="BE52" s="258">
        <f>IFERROR(VLOOKUP($AR52,[23]TruckCenterReference!$C$23:$K84,8,FALSE), 0)</f>
        <v>0</v>
      </c>
      <c r="BF52" s="260" t="str">
        <f t="shared" si="9"/>
        <v/>
      </c>
      <c r="BG52" s="185" t="str">
        <f t="shared" si="10"/>
        <v/>
      </c>
    </row>
    <row r="53" spans="1:59">
      <c r="A53" t="b">
        <f t="shared" si="1"/>
        <v>0</v>
      </c>
      <c r="B53" t="str">
        <f t="shared" si="2"/>
        <v/>
      </c>
      <c r="C53" s="170" t="s">
        <v>1940</v>
      </c>
      <c r="D53" s="171">
        <v>1</v>
      </c>
      <c r="E53" s="172"/>
      <c r="F53" s="173"/>
      <c r="G53" s="173"/>
      <c r="H53" s="174"/>
      <c r="I53" s="175" t="s">
        <v>1940</v>
      </c>
      <c r="J53" s="175" t="s">
        <v>1940</v>
      </c>
      <c r="K53" s="175" t="s">
        <v>1940</v>
      </c>
      <c r="L53" s="176"/>
      <c r="M53" s="177" t="s">
        <v>1940</v>
      </c>
      <c r="N53" s="177" t="s">
        <v>1940</v>
      </c>
      <c r="O53" s="178"/>
      <c r="P53" s="179" t="s">
        <v>1940</v>
      </c>
      <c r="Q53" s="179" t="s">
        <v>1940</v>
      </c>
      <c r="R53" s="180"/>
      <c r="S53" s="250">
        <v>0</v>
      </c>
      <c r="T53" s="251">
        <v>0</v>
      </c>
      <c r="U53" s="251">
        <v>0</v>
      </c>
      <c r="V53" s="251">
        <v>0</v>
      </c>
      <c r="W53" s="251">
        <v>0</v>
      </c>
      <c r="X53" s="251">
        <v>0</v>
      </c>
      <c r="Y53" s="251">
        <v>0</v>
      </c>
      <c r="Z53" s="251">
        <v>0</v>
      </c>
      <c r="AA53" s="251">
        <v>0</v>
      </c>
      <c r="AB53" s="251">
        <v>0</v>
      </c>
      <c r="AC53" s="251">
        <v>0</v>
      </c>
      <c r="AD53" s="252">
        <v>0</v>
      </c>
      <c r="AE53" s="181"/>
      <c r="AF53" s="253">
        <f t="shared" si="3"/>
        <v>0</v>
      </c>
      <c r="AH53" s="178"/>
      <c r="AI53" s="182"/>
      <c r="AJ53" s="183" t="s">
        <v>1940</v>
      </c>
      <c r="AK53" s="178"/>
      <c r="AL53" s="174"/>
      <c r="AM53" s="254"/>
      <c r="AN53" s="184"/>
      <c r="AO53" s="255" t="s">
        <v>2</v>
      </c>
      <c r="AP53" s="256"/>
      <c r="AQ53" s="254"/>
      <c r="AR53" s="257" t="str">
        <f t="shared" si="4"/>
        <v/>
      </c>
      <c r="AS53" s="257" t="str">
        <f>IFERROR(VLOOKUP($AR53,[23]TruckCenterReference!$C$23:$I85,3,FALSE), "")</f>
        <v/>
      </c>
      <c r="AT53" s="185" t="str">
        <f t="shared" si="5"/>
        <v/>
      </c>
      <c r="AU53" s="186"/>
      <c r="AV53" s="258" t="str">
        <f>IFERROR(VLOOKUP($AR53,[23]TruckCenterReference!$C$23:$I85,4,FALSE), "")</f>
        <v/>
      </c>
      <c r="AW53" s="185" t="str">
        <f t="shared" si="6"/>
        <v/>
      </c>
      <c r="AY53" s="257" t="str">
        <f t="shared" si="7"/>
        <v/>
      </c>
      <c r="AZ53" s="187" t="str">
        <f>IFERROR(VLOOKUP($AR53,[23]TruckCenterReference!$C$23:$I85,6,FALSE), "")</f>
        <v/>
      </c>
      <c r="BA53" s="185" t="str">
        <f t="shared" si="8"/>
        <v/>
      </c>
      <c r="BB53" s="186"/>
      <c r="BC53" s="258">
        <f>IFERROR(VLOOKUP($AR53,[23]TruckCenterReference!$C$23:$I85,7,FALSE), 0)</f>
        <v>0</v>
      </c>
      <c r="BD53" s="259">
        <f>IFERROR(VLOOKUP($AR53,[23]TruckCenterReference!$C$23:$K85,9,FALSE), 0)</f>
        <v>0</v>
      </c>
      <c r="BE53" s="258">
        <f>IFERROR(VLOOKUP($AR53,[23]TruckCenterReference!$C$23:$K85,8,FALSE), 0)</f>
        <v>0</v>
      </c>
      <c r="BF53" s="260" t="str">
        <f t="shared" si="9"/>
        <v/>
      </c>
      <c r="BG53" s="185" t="str">
        <f t="shared" si="10"/>
        <v/>
      </c>
    </row>
    <row r="54" spans="1:59">
      <c r="A54" t="b">
        <f t="shared" si="1"/>
        <v>0</v>
      </c>
      <c r="B54" t="str">
        <f t="shared" si="2"/>
        <v/>
      </c>
      <c r="C54" s="170" t="s">
        <v>1940</v>
      </c>
      <c r="D54" s="171">
        <v>1</v>
      </c>
      <c r="E54" s="172"/>
      <c r="F54" s="173"/>
      <c r="G54" s="173"/>
      <c r="H54" s="174"/>
      <c r="I54" s="175" t="s">
        <v>1940</v>
      </c>
      <c r="J54" s="175" t="s">
        <v>1940</v>
      </c>
      <c r="K54" s="175" t="s">
        <v>1940</v>
      </c>
      <c r="L54" s="176"/>
      <c r="M54" s="177" t="s">
        <v>1940</v>
      </c>
      <c r="N54" s="177" t="s">
        <v>1940</v>
      </c>
      <c r="O54" s="178"/>
      <c r="P54" s="179" t="s">
        <v>1940</v>
      </c>
      <c r="Q54" s="179" t="s">
        <v>1940</v>
      </c>
      <c r="R54" s="180"/>
      <c r="S54" s="250">
        <v>0</v>
      </c>
      <c r="T54" s="251">
        <v>0</v>
      </c>
      <c r="U54" s="251">
        <v>0</v>
      </c>
      <c r="V54" s="251">
        <v>0</v>
      </c>
      <c r="W54" s="251">
        <v>0</v>
      </c>
      <c r="X54" s="251">
        <v>0</v>
      </c>
      <c r="Y54" s="251">
        <v>0</v>
      </c>
      <c r="Z54" s="251">
        <v>0</v>
      </c>
      <c r="AA54" s="251">
        <v>0</v>
      </c>
      <c r="AB54" s="251">
        <v>0</v>
      </c>
      <c r="AC54" s="251">
        <v>0</v>
      </c>
      <c r="AD54" s="252">
        <v>0</v>
      </c>
      <c r="AE54" s="181"/>
      <c r="AF54" s="253">
        <f t="shared" si="3"/>
        <v>0</v>
      </c>
      <c r="AH54" s="178"/>
      <c r="AI54" s="182"/>
      <c r="AJ54" s="183" t="s">
        <v>1940</v>
      </c>
      <c r="AK54" s="178"/>
      <c r="AL54" s="174"/>
      <c r="AM54" s="254"/>
      <c r="AN54" s="184"/>
      <c r="AO54" s="255" t="s">
        <v>2</v>
      </c>
      <c r="AP54" s="256"/>
      <c r="AQ54" s="254"/>
      <c r="AR54" s="257" t="str">
        <f t="shared" si="4"/>
        <v/>
      </c>
      <c r="AS54" s="257" t="str">
        <f>IFERROR(VLOOKUP($AR54,[23]TruckCenterReference!$C$23:$I86,3,FALSE), "")</f>
        <v/>
      </c>
      <c r="AT54" s="185" t="str">
        <f t="shared" si="5"/>
        <v/>
      </c>
      <c r="AU54" s="186"/>
      <c r="AV54" s="258" t="str">
        <f>IFERROR(VLOOKUP($AR54,[23]TruckCenterReference!$C$23:$I86,4,FALSE), "")</f>
        <v/>
      </c>
      <c r="AW54" s="185" t="str">
        <f t="shared" si="6"/>
        <v/>
      </c>
      <c r="AY54" s="257" t="str">
        <f t="shared" si="7"/>
        <v/>
      </c>
      <c r="AZ54" s="187" t="str">
        <f>IFERROR(VLOOKUP($AR54,[23]TruckCenterReference!$C$23:$I86,6,FALSE), "")</f>
        <v/>
      </c>
      <c r="BA54" s="185" t="str">
        <f t="shared" si="8"/>
        <v/>
      </c>
      <c r="BB54" s="186"/>
      <c r="BC54" s="258">
        <f>IFERROR(VLOOKUP($AR54,[23]TruckCenterReference!$C$23:$I86,7,FALSE), 0)</f>
        <v>0</v>
      </c>
      <c r="BD54" s="259">
        <f>IFERROR(VLOOKUP($AR54,[23]TruckCenterReference!$C$23:$K86,9,FALSE), 0)</f>
        <v>0</v>
      </c>
      <c r="BE54" s="258">
        <f>IFERROR(VLOOKUP($AR54,[23]TruckCenterReference!$C$23:$K86,8,FALSE), 0)</f>
        <v>0</v>
      </c>
      <c r="BF54" s="260" t="str">
        <f t="shared" si="9"/>
        <v/>
      </c>
      <c r="BG54" s="185" t="str">
        <f t="shared" si="10"/>
        <v/>
      </c>
    </row>
    <row r="55" spans="1:59">
      <c r="A55" t="b">
        <f t="shared" si="1"/>
        <v>0</v>
      </c>
      <c r="B55" t="str">
        <f t="shared" si="2"/>
        <v/>
      </c>
      <c r="C55" s="170" t="s">
        <v>1940</v>
      </c>
      <c r="D55" s="171">
        <v>1</v>
      </c>
      <c r="E55" s="172"/>
      <c r="F55" s="173"/>
      <c r="G55" s="173"/>
      <c r="H55" s="174"/>
      <c r="I55" s="175" t="s">
        <v>1940</v>
      </c>
      <c r="J55" s="175" t="s">
        <v>1940</v>
      </c>
      <c r="K55" s="175" t="s">
        <v>1940</v>
      </c>
      <c r="L55" s="176"/>
      <c r="M55" s="177" t="s">
        <v>1940</v>
      </c>
      <c r="N55" s="177" t="s">
        <v>1940</v>
      </c>
      <c r="O55" s="178"/>
      <c r="P55" s="179" t="s">
        <v>1940</v>
      </c>
      <c r="Q55" s="179" t="s">
        <v>1940</v>
      </c>
      <c r="R55" s="180"/>
      <c r="S55" s="250">
        <v>0</v>
      </c>
      <c r="T55" s="251">
        <v>0</v>
      </c>
      <c r="U55" s="251">
        <v>0</v>
      </c>
      <c r="V55" s="251">
        <v>0</v>
      </c>
      <c r="W55" s="251">
        <v>0</v>
      </c>
      <c r="X55" s="251">
        <v>0</v>
      </c>
      <c r="Y55" s="251">
        <v>0</v>
      </c>
      <c r="Z55" s="251">
        <v>0</v>
      </c>
      <c r="AA55" s="251">
        <v>0</v>
      </c>
      <c r="AB55" s="251">
        <v>0</v>
      </c>
      <c r="AC55" s="251">
        <v>0</v>
      </c>
      <c r="AD55" s="252">
        <v>0</v>
      </c>
      <c r="AE55" s="181"/>
      <c r="AF55" s="253">
        <f t="shared" si="3"/>
        <v>0</v>
      </c>
      <c r="AH55" s="178"/>
      <c r="AI55" s="182"/>
      <c r="AJ55" s="183" t="s">
        <v>1940</v>
      </c>
      <c r="AK55" s="178"/>
      <c r="AL55" s="174"/>
      <c r="AM55" s="254"/>
      <c r="AN55" s="184"/>
      <c r="AO55" s="255" t="s">
        <v>2</v>
      </c>
      <c r="AP55" s="256"/>
      <c r="AQ55" s="254"/>
      <c r="AR55" s="257" t="str">
        <f t="shared" si="4"/>
        <v/>
      </c>
      <c r="AS55" s="257" t="str">
        <f>IFERROR(VLOOKUP($AR55,[23]TruckCenterReference!$C$23:$I87,3,FALSE), "")</f>
        <v/>
      </c>
      <c r="AT55" s="185" t="str">
        <f t="shared" si="5"/>
        <v/>
      </c>
      <c r="AU55" s="186"/>
      <c r="AV55" s="258" t="str">
        <f>IFERROR(VLOOKUP($AR55,[23]TruckCenterReference!$C$23:$I87,4,FALSE), "")</f>
        <v/>
      </c>
      <c r="AW55" s="185" t="str">
        <f t="shared" si="6"/>
        <v/>
      </c>
      <c r="AY55" s="257" t="str">
        <f t="shared" si="7"/>
        <v/>
      </c>
      <c r="AZ55" s="187" t="str">
        <f>IFERROR(VLOOKUP($AR55,[23]TruckCenterReference!$C$23:$I87,6,FALSE), "")</f>
        <v/>
      </c>
      <c r="BA55" s="185" t="str">
        <f t="shared" si="8"/>
        <v/>
      </c>
      <c r="BB55" s="186"/>
      <c r="BC55" s="258">
        <f>IFERROR(VLOOKUP($AR55,[23]TruckCenterReference!$C$23:$I87,7,FALSE), 0)</f>
        <v>0</v>
      </c>
      <c r="BD55" s="259">
        <f>IFERROR(VLOOKUP($AR55,[23]TruckCenterReference!$C$23:$K87,9,FALSE), 0)</f>
        <v>0</v>
      </c>
      <c r="BE55" s="258">
        <f>IFERROR(VLOOKUP($AR55,[23]TruckCenterReference!$C$23:$K87,8,FALSE), 0)</f>
        <v>0</v>
      </c>
      <c r="BF55" s="260" t="str">
        <f t="shared" si="9"/>
        <v/>
      </c>
      <c r="BG55" s="185" t="str">
        <f t="shared" si="10"/>
        <v/>
      </c>
    </row>
    <row r="56" spans="1:59">
      <c r="E56" s="238" t="s">
        <v>1941</v>
      </c>
      <c r="F56" s="238"/>
      <c r="G56" s="239"/>
      <c r="H56" s="240"/>
      <c r="I56" s="198"/>
      <c r="J56" s="198"/>
      <c r="K56" s="198"/>
      <c r="L56" s="198"/>
      <c r="M56" s="198"/>
      <c r="N56" s="198"/>
      <c r="O56" s="181"/>
      <c r="P56" s="181"/>
      <c r="Q56" s="181"/>
      <c r="R56" s="18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181"/>
      <c r="AF56" s="242"/>
      <c r="AH56" s="181"/>
      <c r="AI56" s="181"/>
      <c r="AJ56" s="181"/>
      <c r="AK56" s="181"/>
      <c r="AL56" s="181"/>
      <c r="AN56" s="181"/>
    </row>
    <row r="57" spans="1:59" ht="15.75" thickBot="1">
      <c r="Q57" s="233"/>
      <c r="R57" s="243" t="s">
        <v>1942</v>
      </c>
      <c r="S57" s="263">
        <f t="shared" ref="S57:AD57" si="11">SUM(S29:S56)</f>
        <v>0</v>
      </c>
      <c r="T57" s="263">
        <f t="shared" si="11"/>
        <v>65000</v>
      </c>
      <c r="U57" s="263">
        <f t="shared" si="11"/>
        <v>487157</v>
      </c>
      <c r="V57" s="263">
        <f t="shared" si="11"/>
        <v>0</v>
      </c>
      <c r="W57" s="263">
        <f t="shared" si="11"/>
        <v>65000</v>
      </c>
      <c r="X57" s="263">
        <f t="shared" si="11"/>
        <v>350705</v>
      </c>
      <c r="Y57" s="263">
        <f t="shared" si="11"/>
        <v>130000</v>
      </c>
      <c r="Z57" s="263">
        <f t="shared" si="11"/>
        <v>552157</v>
      </c>
      <c r="AA57" s="263">
        <f t="shared" si="11"/>
        <v>0</v>
      </c>
      <c r="AB57" s="263">
        <f t="shared" si="11"/>
        <v>213783</v>
      </c>
      <c r="AC57" s="263">
        <f t="shared" si="11"/>
        <v>0</v>
      </c>
      <c r="AD57" s="263">
        <f t="shared" si="11"/>
        <v>0</v>
      </c>
      <c r="AE57" s="236"/>
      <c r="AF57" s="263">
        <f>SUM(AF29:AF56)</f>
        <v>1863802</v>
      </c>
      <c r="AH57" s="181"/>
      <c r="AI57" s="181"/>
      <c r="AJ57" s="181"/>
      <c r="AK57" s="181"/>
      <c r="AL57" s="181"/>
      <c r="AN57" s="181"/>
    </row>
    <row r="58" spans="1:59" ht="15.75" thickTop="1"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81"/>
      <c r="P58" s="181"/>
      <c r="Q58" s="181"/>
      <c r="R58" s="18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181"/>
      <c r="AF58" s="244"/>
      <c r="AH58" s="181"/>
      <c r="AI58" s="181"/>
      <c r="AJ58" s="181"/>
      <c r="AK58" s="181"/>
      <c r="AL58" s="181"/>
      <c r="AN58" s="181"/>
    </row>
    <row r="59" spans="1:59">
      <c r="AE59" s="181"/>
    </row>
    <row r="60" spans="1:59">
      <c r="AF60" s="164"/>
    </row>
    <row r="62" spans="1:59">
      <c r="W62" s="4"/>
    </row>
    <row r="63" spans="1:59" ht="45.75" thickBot="1">
      <c r="P63" s="227" t="s">
        <v>1578</v>
      </c>
      <c r="Q63" s="227" t="s">
        <v>1917</v>
      </c>
      <c r="S63" s="109" t="s">
        <v>8</v>
      </c>
      <c r="T63" s="245" t="s">
        <v>1601</v>
      </c>
      <c r="U63" s="245" t="s">
        <v>1943</v>
      </c>
      <c r="V63" s="245" t="s">
        <v>1944</v>
      </c>
      <c r="W63" s="245" t="s">
        <v>1945</v>
      </c>
      <c r="X63" s="245" t="s">
        <v>1582</v>
      </c>
    </row>
    <row r="64" spans="1:59">
      <c r="P64" s="177" t="s">
        <v>1932</v>
      </c>
      <c r="Q64" s="177" t="s">
        <v>1933</v>
      </c>
      <c r="S64" s="246"/>
      <c r="T64" s="246"/>
      <c r="U64" s="246"/>
      <c r="V64" s="247"/>
      <c r="W64" s="247"/>
      <c r="X64" s="247"/>
    </row>
    <row r="65" spans="13:24">
      <c r="M65" s="4"/>
      <c r="N65" s="4"/>
      <c r="P65" s="177" t="s">
        <v>1932</v>
      </c>
      <c r="Q65" s="177" t="s">
        <v>1964</v>
      </c>
      <c r="S65" s="246"/>
      <c r="T65" s="265"/>
      <c r="U65" s="265"/>
      <c r="V65" s="247"/>
      <c r="W65" s="247"/>
      <c r="X65" s="247"/>
    </row>
    <row r="66" spans="13:24">
      <c r="P66" s="177" t="s">
        <v>1970</v>
      </c>
      <c r="Q66" s="177" t="s">
        <v>233</v>
      </c>
      <c r="S66" s="246">
        <f t="shared" ref="S66" si="12">+SUMIFS($AF$30:$AF$55, $M$30:$M$55,$P66,$N$30:$N$55, $Q66)</f>
        <v>130000</v>
      </c>
      <c r="T66" s="248">
        <v>12</v>
      </c>
      <c r="U66" s="248">
        <f t="shared" ref="U66" si="13">+S66/T66</f>
        <v>10833.333333333334</v>
      </c>
      <c r="V66" s="249"/>
      <c r="W66" s="247">
        <f>+U66</f>
        <v>10833.333333333334</v>
      </c>
      <c r="X66" s="247">
        <f>+S66-U66</f>
        <v>119166.66666666667</v>
      </c>
    </row>
    <row r="67" spans="13:24">
      <c r="S67" s="266">
        <f>SUM(S64:S66)</f>
        <v>130000</v>
      </c>
      <c r="T67" s="247"/>
      <c r="U67" s="266">
        <f t="shared" ref="U67:X67" si="14">SUM(U64:U66)</f>
        <v>10833.333333333334</v>
      </c>
      <c r="V67" s="266">
        <f t="shared" si="14"/>
        <v>0</v>
      </c>
      <c r="W67" s="266">
        <f t="shared" si="14"/>
        <v>10833.333333333334</v>
      </c>
      <c r="X67" s="266">
        <f t="shared" si="14"/>
        <v>119166.66666666667</v>
      </c>
    </row>
    <row r="72" spans="13:24">
      <c r="M72" s="4"/>
      <c r="N72" s="4"/>
    </row>
  </sheetData>
  <conditionalFormatting sqref="AT6">
    <cfRule type="cellIs" dxfId="9" priority="7" operator="equal">
      <formula>"Review"</formula>
    </cfRule>
  </conditionalFormatting>
  <conditionalFormatting sqref="AT30:AT55">
    <cfRule type="cellIs" dxfId="8" priority="2" operator="equal">
      <formula>"Review"</formula>
    </cfRule>
  </conditionalFormatting>
  <conditionalFormatting sqref="AW6">
    <cfRule type="cellIs" dxfId="7" priority="6" operator="equal">
      <formula>"Fix!"</formula>
    </cfRule>
  </conditionalFormatting>
  <conditionalFormatting sqref="AW30:AW55">
    <cfRule type="cellIs" dxfId="6" priority="1" operator="equal">
      <formula>"Fix!"</formula>
    </cfRule>
  </conditionalFormatting>
  <conditionalFormatting sqref="BA6">
    <cfRule type="cellIs" dxfId="5" priority="10" operator="equal">
      <formula>"Fix!"</formula>
    </cfRule>
  </conditionalFormatting>
  <conditionalFormatting sqref="BA30:BA55">
    <cfRule type="cellIs" dxfId="4" priority="5" operator="equal">
      <formula>"Fix!"</formula>
    </cfRule>
  </conditionalFormatting>
  <conditionalFormatting sqref="BG6">
    <cfRule type="cellIs" dxfId="3" priority="8" operator="equal">
      <formula>"Review"</formula>
    </cfRule>
    <cfRule type="cellIs" dxfId="2" priority="9" operator="equal">
      <formula>"Fix!"</formula>
    </cfRule>
  </conditionalFormatting>
  <conditionalFormatting sqref="BG30:BG55">
    <cfRule type="cellIs" dxfId="1" priority="3" operator="equal">
      <formula>"Review"</formula>
    </cfRule>
    <cfRule type="cellIs" dxfId="0" priority="4" operator="equal">
      <formula>"Fix!"</formula>
    </cfRule>
  </conditionalFormatting>
  <dataValidations count="6">
    <dataValidation type="list" allowBlank="1" showInputMessage="1" showErrorMessage="1" sqref="R36:R55" xr:uid="{12015C48-1925-4D12-BE28-5271A79F2E4C}">
      <formula1>",,18078,18471,18474,18483,18511,18547,18548,19541,19542,19543,19544,19545,19546,19547"</formula1>
    </dataValidation>
    <dataValidation type="list" allowBlank="1" showInputMessage="1" showErrorMessage="1" sqref="R30:R35" xr:uid="{5E0C12AA-6346-406E-A220-616FC5297B66}">
      <formula1>"18078,18471,18474,18483,18511,18547,18548,19541,19542,19543,19544,19545,19546,19547"</formula1>
    </dataValidation>
    <dataValidation type="list" allowBlank="1" showInputMessage="1" showErrorMessage="1" sqref="J15" xr:uid="{E06CC57F-46F5-4A9C-B5F7-7B9CEF72B15D}">
      <formula1>I19</formula1>
    </dataValidation>
    <dataValidation type="list" allowBlank="1" showInputMessage="1" showErrorMessage="1" sqref="Q6 Q30:Q55" xr:uid="{0A717BF5-57D9-4338-9685-FC2E8B8898FB}">
      <formula1>"N,U"</formula1>
    </dataValidation>
    <dataValidation type="list" allowBlank="1" showInputMessage="1" showErrorMessage="1" sqref="P6 P30:P55" xr:uid="{A524FC9F-7DF5-4F03-AFCC-BF2088CD7971}">
      <formula1>"A,R"</formula1>
    </dataValidation>
    <dataValidation type="list" allowBlank="1" showInputMessage="1" showErrorMessage="1" sqref="E6 E30:E55" xr:uid="{68B85063-E6BE-41B2-9C11-37CD7FE15162}">
      <formula1>"Delete!"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/>
  <dimension ref="A1:CB569"/>
  <sheetViews>
    <sheetView showGridLines="0" zoomScale="85" zoomScaleNormal="85" workbookViewId="0">
      <pane ySplit="10" topLeftCell="A11" activePane="bottomLeft" state="frozen"/>
      <selection pane="bottomLeft" sqref="A1:XFD1048576"/>
    </sheetView>
  </sheetViews>
  <sheetFormatPr defaultColWidth="12.5703125" defaultRowHeight="12"/>
  <cols>
    <col min="1" max="1" width="10.42578125" style="282" customWidth="1"/>
    <col min="2" max="2" width="8.140625" style="282" customWidth="1"/>
    <col min="3" max="3" width="10" style="282" bestFit="1" customWidth="1"/>
    <col min="4" max="4" width="35" style="282" customWidth="1"/>
    <col min="5" max="5" width="6.7109375" style="282" customWidth="1"/>
    <col min="6" max="6" width="6.140625" style="284" customWidth="1"/>
    <col min="7" max="7" width="8.5703125" style="284" customWidth="1"/>
    <col min="8" max="8" width="2.28515625" style="282" customWidth="1"/>
    <col min="9" max="9" width="7.85546875" style="284" customWidth="1"/>
    <col min="10" max="10" width="6.140625" style="284" customWidth="1"/>
    <col min="11" max="11" width="8.42578125" style="282" customWidth="1"/>
    <col min="12" max="12" width="6.140625" style="282" customWidth="1"/>
    <col min="13" max="13" width="0.42578125" style="282" customWidth="1"/>
    <col min="14" max="14" width="9.42578125" style="285" bestFit="1" customWidth="1"/>
    <col min="15" max="15" width="6.7109375" style="282" customWidth="1"/>
    <col min="16" max="16" width="12" style="282" customWidth="1"/>
    <col min="17" max="17" width="12.28515625" style="282" customWidth="1"/>
    <col min="18" max="18" width="9.85546875" style="282" bestFit="1" customWidth="1"/>
    <col min="19" max="19" width="6.7109375" style="282" bestFit="1" customWidth="1"/>
    <col min="20" max="20" width="13.85546875" style="282" customWidth="1"/>
    <col min="21" max="21" width="6.7109375" style="282" customWidth="1"/>
    <col min="22" max="22" width="9.85546875" style="282" customWidth="1"/>
    <col min="23" max="23" width="1.140625" style="282" customWidth="1"/>
    <col min="24" max="25" width="10.85546875" style="282" customWidth="1"/>
    <col min="26" max="26" width="5.85546875" style="282" customWidth="1"/>
    <col min="27" max="28" width="11.28515625" style="282" bestFit="1" customWidth="1"/>
    <col min="29" max="29" width="10" style="282" bestFit="1" customWidth="1"/>
    <col min="30" max="30" width="7.85546875" style="282" bestFit="1" customWidth="1"/>
    <col min="31" max="31" width="8.42578125" style="282" bestFit="1" customWidth="1"/>
    <col min="32" max="32" width="9.7109375" style="282" customWidth="1"/>
    <col min="33" max="34" width="7.85546875" style="282" bestFit="1" customWidth="1"/>
    <col min="35" max="35" width="12.5703125" style="282"/>
    <col min="36" max="36" width="13.42578125" style="11" bestFit="1" customWidth="1"/>
    <col min="37" max="37" width="2.85546875" style="11" customWidth="1"/>
    <col min="38" max="38" width="17.5703125" style="11" bestFit="1" customWidth="1"/>
    <col min="39" max="39" width="2.7109375" style="11" customWidth="1"/>
    <col min="40" max="40" width="16.28515625" style="11" bestFit="1" customWidth="1"/>
    <col min="41" max="41" width="3.7109375" style="11" customWidth="1"/>
    <col min="42" max="42" width="18.28515625" style="11" bestFit="1" customWidth="1"/>
    <col min="43" max="43" width="2.85546875" style="11" customWidth="1"/>
    <col min="44" max="44" width="13.42578125" style="11" bestFit="1" customWidth="1"/>
    <col min="45" max="16384" width="12.5703125" style="282"/>
  </cols>
  <sheetData>
    <row r="1" spans="1:80">
      <c r="D1" s="283" t="s">
        <v>27</v>
      </c>
      <c r="P1" s="286"/>
      <c r="Q1" s="286"/>
      <c r="AE1" s="287"/>
      <c r="AJ1" s="282"/>
      <c r="AK1" s="282"/>
      <c r="AL1" s="282"/>
      <c r="AM1" s="282"/>
      <c r="AN1" s="282"/>
      <c r="AO1" s="282"/>
      <c r="AP1" s="282"/>
      <c r="AQ1" s="282"/>
      <c r="AR1" s="282"/>
    </row>
    <row r="2" spans="1:80">
      <c r="D2" s="283" t="s">
        <v>28</v>
      </c>
      <c r="P2" s="288">
        <v>12</v>
      </c>
      <c r="Q2" s="289" t="s">
        <v>29</v>
      </c>
      <c r="AJ2" s="282"/>
      <c r="AK2" s="282"/>
      <c r="AL2" s="282"/>
      <c r="AM2" s="282"/>
      <c r="AN2" s="282"/>
      <c r="AO2" s="282"/>
      <c r="AP2" s="282"/>
      <c r="AQ2" s="282"/>
      <c r="AR2" s="282"/>
      <c r="BX2" s="282" t="s">
        <v>30</v>
      </c>
    </row>
    <row r="3" spans="1:80">
      <c r="D3" s="1">
        <f>'Depr Summary'!H7</f>
        <v>45351</v>
      </c>
      <c r="P3" s="288">
        <v>0</v>
      </c>
      <c r="Q3" s="289" t="s">
        <v>31</v>
      </c>
      <c r="AE3" s="282" t="s">
        <v>32</v>
      </c>
      <c r="AF3" s="282" t="s">
        <v>33</v>
      </c>
      <c r="AJ3" s="282"/>
      <c r="AK3" s="282"/>
      <c r="AL3" s="282"/>
      <c r="AM3" s="282"/>
      <c r="AN3" s="282"/>
      <c r="AO3" s="282"/>
      <c r="AP3" s="282"/>
      <c r="AQ3" s="282"/>
      <c r="AR3" s="282"/>
    </row>
    <row r="4" spans="1:80">
      <c r="P4" s="290">
        <v>2017</v>
      </c>
      <c r="Q4" s="289" t="s">
        <v>34</v>
      </c>
      <c r="AE4" s="282" t="s">
        <v>35</v>
      </c>
      <c r="AF4" s="282" t="s">
        <v>36</v>
      </c>
      <c r="AJ4" s="282"/>
      <c r="AK4" s="282"/>
      <c r="AL4" s="282"/>
      <c r="AM4" s="282"/>
      <c r="AN4" s="282"/>
      <c r="AO4" s="282"/>
      <c r="AP4" s="282"/>
      <c r="AQ4" s="282"/>
      <c r="AR4" s="282"/>
      <c r="BW4" s="282">
        <v>1</v>
      </c>
      <c r="BX4" s="282" t="s">
        <v>37</v>
      </c>
      <c r="CA4" s="282">
        <v>12</v>
      </c>
      <c r="CB4" s="282" t="s">
        <v>38</v>
      </c>
    </row>
    <row r="5" spans="1:80">
      <c r="P5" s="290">
        <v>2018</v>
      </c>
      <c r="Q5" s="289" t="s">
        <v>46</v>
      </c>
      <c r="AE5" s="282" t="s">
        <v>39</v>
      </c>
      <c r="AF5" s="282" t="s">
        <v>40</v>
      </c>
      <c r="AJ5" s="455" t="s">
        <v>436</v>
      </c>
      <c r="AK5" s="455"/>
      <c r="AL5" s="455"/>
      <c r="AM5" s="455"/>
      <c r="AN5" s="455"/>
      <c r="AO5" s="455"/>
      <c r="AP5" s="455"/>
      <c r="AQ5" s="455"/>
      <c r="AR5" s="455"/>
      <c r="BX5" s="282">
        <v>1993</v>
      </c>
      <c r="CA5" s="282">
        <v>0</v>
      </c>
      <c r="CB5" s="282" t="s">
        <v>41</v>
      </c>
    </row>
    <row r="6" spans="1:80">
      <c r="AE6" s="282" t="s">
        <v>42</v>
      </c>
      <c r="AF6" s="282" t="s">
        <v>43</v>
      </c>
      <c r="AJ6" s="455"/>
      <c r="AK6" s="455"/>
      <c r="AL6" s="455"/>
      <c r="AM6" s="455"/>
      <c r="AN6" s="455"/>
      <c r="AO6" s="455"/>
      <c r="AP6" s="455"/>
      <c r="AQ6" s="455"/>
      <c r="AR6" s="455"/>
      <c r="CA6" s="282">
        <v>93</v>
      </c>
      <c r="CB6" s="282" t="s">
        <v>34</v>
      </c>
    </row>
    <row r="7" spans="1:80" ht="15">
      <c r="S7" s="284" t="s">
        <v>47</v>
      </c>
      <c r="V7" s="291" t="s">
        <v>25</v>
      </c>
      <c r="X7" s="284" t="s">
        <v>48</v>
      </c>
      <c r="Y7" s="284" t="s">
        <v>49</v>
      </c>
      <c r="AA7" s="291" t="s">
        <v>49</v>
      </c>
      <c r="AB7" s="291" t="s">
        <v>49</v>
      </c>
      <c r="AE7" s="282" t="s">
        <v>44</v>
      </c>
      <c r="AF7" s="282" t="s">
        <v>45</v>
      </c>
      <c r="AJ7" s="292"/>
      <c r="AK7" s="292"/>
      <c r="AL7" s="292"/>
      <c r="AM7" s="292"/>
      <c r="AN7" s="293" t="s">
        <v>437</v>
      </c>
      <c r="AO7" s="292"/>
      <c r="AP7" s="293" t="s">
        <v>437</v>
      </c>
      <c r="AQ7" s="292"/>
      <c r="AR7" s="292"/>
      <c r="CA7" s="282">
        <v>94</v>
      </c>
      <c r="CB7" s="282" t="s">
        <v>46</v>
      </c>
    </row>
    <row r="8" spans="1:80" ht="15">
      <c r="B8" s="291"/>
      <c r="C8" s="291" t="s">
        <v>2</v>
      </c>
      <c r="D8" s="294" t="s">
        <v>50</v>
      </c>
      <c r="E8" s="291" t="s">
        <v>51</v>
      </c>
      <c r="F8" s="291"/>
      <c r="G8" s="295" t="s">
        <v>9</v>
      </c>
      <c r="H8" s="286"/>
      <c r="I8" s="291" t="s">
        <v>2</v>
      </c>
      <c r="J8" s="291"/>
      <c r="K8" s="291" t="s">
        <v>52</v>
      </c>
      <c r="L8" s="291" t="s">
        <v>2</v>
      </c>
      <c r="N8" s="296" t="s">
        <v>2</v>
      </c>
      <c r="O8" s="284" t="s">
        <v>53</v>
      </c>
      <c r="P8" s="294" t="s">
        <v>2</v>
      </c>
      <c r="Q8" s="294"/>
      <c r="R8" s="291" t="s">
        <v>54</v>
      </c>
      <c r="S8" s="284" t="s">
        <v>52</v>
      </c>
      <c r="T8" s="291" t="s">
        <v>25</v>
      </c>
      <c r="U8" s="291" t="s">
        <v>55</v>
      </c>
      <c r="V8" s="291" t="s">
        <v>49</v>
      </c>
      <c r="X8" s="284" t="s">
        <v>56</v>
      </c>
      <c r="Y8" s="284" t="s">
        <v>56</v>
      </c>
      <c r="Z8" s="284" t="s">
        <v>57</v>
      </c>
      <c r="AA8" s="291" t="s">
        <v>58</v>
      </c>
      <c r="AB8" s="291" t="s">
        <v>58</v>
      </c>
      <c r="AC8" s="291" t="s">
        <v>5</v>
      </c>
      <c r="AJ8" s="293" t="s">
        <v>438</v>
      </c>
      <c r="AK8" s="297"/>
      <c r="AL8" s="293" t="s">
        <v>439</v>
      </c>
      <c r="AM8" s="297"/>
      <c r="AN8" s="293" t="s">
        <v>440</v>
      </c>
      <c r="AO8" s="297"/>
      <c r="AP8" s="293" t="s">
        <v>440</v>
      </c>
      <c r="AQ8" s="297"/>
      <c r="AR8" s="293" t="s">
        <v>441</v>
      </c>
    </row>
    <row r="9" spans="1:80" ht="15">
      <c r="B9" s="291"/>
      <c r="C9" s="291" t="s">
        <v>59</v>
      </c>
      <c r="D9" s="294"/>
      <c r="E9" s="291" t="s">
        <v>60</v>
      </c>
      <c r="F9" s="291"/>
      <c r="G9" s="295" t="s">
        <v>61</v>
      </c>
      <c r="H9" s="286"/>
      <c r="I9" s="291" t="s">
        <v>62</v>
      </c>
      <c r="J9" s="291" t="s">
        <v>63</v>
      </c>
      <c r="K9" s="291" t="s">
        <v>64</v>
      </c>
      <c r="L9" s="291" t="s">
        <v>53</v>
      </c>
      <c r="M9" s="282" t="s">
        <v>65</v>
      </c>
      <c r="N9" s="296" t="s">
        <v>53</v>
      </c>
      <c r="O9" s="284" t="s">
        <v>47</v>
      </c>
      <c r="P9" s="291" t="s">
        <v>11</v>
      </c>
      <c r="Q9" s="291" t="s">
        <v>66</v>
      </c>
      <c r="R9" s="291" t="s">
        <v>52</v>
      </c>
      <c r="S9" s="284" t="s">
        <v>67</v>
      </c>
      <c r="T9" s="291" t="s">
        <v>68</v>
      </c>
      <c r="U9" s="291" t="s">
        <v>69</v>
      </c>
      <c r="V9" s="291" t="s">
        <v>70</v>
      </c>
      <c r="W9" s="291"/>
      <c r="X9" s="291" t="s">
        <v>71</v>
      </c>
      <c r="Y9" s="291" t="s">
        <v>71</v>
      </c>
      <c r="Z9" s="291" t="s">
        <v>69</v>
      </c>
      <c r="AA9" s="291" t="s">
        <v>72</v>
      </c>
      <c r="AB9" s="291" t="s">
        <v>72</v>
      </c>
      <c r="AC9" s="291" t="s">
        <v>7</v>
      </c>
      <c r="AD9" s="284" t="s">
        <v>32</v>
      </c>
      <c r="AE9" s="284" t="s">
        <v>73</v>
      </c>
      <c r="AF9" s="284" t="s">
        <v>74</v>
      </c>
      <c r="AG9" s="284" t="s">
        <v>42</v>
      </c>
      <c r="AH9" s="284" t="s">
        <v>44</v>
      </c>
      <c r="AJ9" s="293" t="s">
        <v>442</v>
      </c>
      <c r="AK9" s="297"/>
      <c r="AL9" s="293" t="s">
        <v>443</v>
      </c>
      <c r="AM9" s="297"/>
      <c r="AN9" s="293" t="s">
        <v>444</v>
      </c>
      <c r="AO9" s="297"/>
      <c r="AP9" s="293" t="s">
        <v>445</v>
      </c>
      <c r="AQ9" s="297"/>
      <c r="AR9" s="293" t="s">
        <v>7</v>
      </c>
      <c r="BW9" s="282">
        <v>2</v>
      </c>
      <c r="BX9" s="282" t="s">
        <v>75</v>
      </c>
    </row>
    <row r="10" spans="1:80">
      <c r="A10" s="298" t="s">
        <v>287</v>
      </c>
      <c r="B10" s="298" t="s">
        <v>76</v>
      </c>
      <c r="C10" s="298" t="s">
        <v>77</v>
      </c>
      <c r="D10" s="299" t="s">
        <v>78</v>
      </c>
      <c r="E10" s="298" t="s">
        <v>52</v>
      </c>
      <c r="F10" s="298" t="s">
        <v>79</v>
      </c>
      <c r="G10" s="300" t="s">
        <v>55</v>
      </c>
      <c r="H10" s="286" t="s">
        <v>80</v>
      </c>
      <c r="I10" s="298" t="s">
        <v>81</v>
      </c>
      <c r="J10" s="298" t="s">
        <v>82</v>
      </c>
      <c r="K10" s="298" t="s">
        <v>11</v>
      </c>
      <c r="L10" s="298" t="s">
        <v>8</v>
      </c>
      <c r="M10" s="301" t="s">
        <v>80</v>
      </c>
      <c r="N10" s="302" t="s">
        <v>8</v>
      </c>
      <c r="O10" s="301" t="s">
        <v>80</v>
      </c>
      <c r="P10" s="298" t="s">
        <v>8</v>
      </c>
      <c r="Q10" s="298" t="s">
        <v>11</v>
      </c>
      <c r="R10" s="298" t="s">
        <v>11</v>
      </c>
      <c r="S10" s="301" t="s">
        <v>80</v>
      </c>
      <c r="T10" s="291" t="s">
        <v>83</v>
      </c>
      <c r="U10" s="298" t="s">
        <v>80</v>
      </c>
      <c r="V10" s="291" t="s">
        <v>72</v>
      </c>
      <c r="W10" s="291"/>
      <c r="X10" s="303">
        <f>'Depr Summary'!F7</f>
        <v>44986</v>
      </c>
      <c r="Y10" s="304">
        <f>+D3</f>
        <v>45351</v>
      </c>
      <c r="Z10" s="291" t="s">
        <v>55</v>
      </c>
      <c r="AA10" s="305">
        <f>+X10</f>
        <v>44986</v>
      </c>
      <c r="AB10" s="305">
        <f>+D3</f>
        <v>45351</v>
      </c>
      <c r="AC10" s="305">
        <f>+D3</f>
        <v>45351</v>
      </c>
      <c r="AJ10" s="282"/>
      <c r="AK10" s="282"/>
      <c r="AL10" s="282"/>
      <c r="AM10" s="282"/>
      <c r="AN10" s="282"/>
      <c r="AO10" s="282"/>
      <c r="AP10" s="282"/>
      <c r="AQ10" s="282"/>
      <c r="AR10" s="282"/>
    </row>
    <row r="11" spans="1:80">
      <c r="B11" s="284" t="s">
        <v>316</v>
      </c>
      <c r="C11" s="282">
        <v>4</v>
      </c>
      <c r="D11" s="306" t="s">
        <v>317</v>
      </c>
      <c r="E11" s="282">
        <v>2004</v>
      </c>
      <c r="F11" s="284">
        <v>9</v>
      </c>
      <c r="G11" s="307">
        <v>0.2</v>
      </c>
      <c r="H11" s="286"/>
      <c r="I11" s="308" t="s">
        <v>86</v>
      </c>
      <c r="J11" s="284">
        <v>7</v>
      </c>
      <c r="K11" s="309">
        <f t="shared" ref="K11:K31" si="0">E11+J11</f>
        <v>2011</v>
      </c>
      <c r="N11" s="285">
        <f>67645+505+39053+302+925+4519</f>
        <v>112949</v>
      </c>
      <c r="O11" s="310"/>
      <c r="P11" s="286">
        <f t="shared" ref="P11:P26" si="1">N11-N11*G11</f>
        <v>90359.2</v>
      </c>
      <c r="Q11" s="286">
        <f t="shared" ref="Q11:Q26" si="2">P11/J11/12</f>
        <v>1075.7047619047619</v>
      </c>
      <c r="R11" s="286">
        <f t="shared" ref="R11:R25" si="3">IF(O11&gt;0,0,IF(OR(AD11&gt;AE11,AF11&lt;AG11),0,IF(AND(AF11&gt;=AG11,AF11&lt;=AE11),Q11*((AF11-AG11)*12),IF(AND(AG11&lt;=AD11,AE11&gt;=AD11),((AE11-AD11)*12)*Q11,IF(AF11&gt;AE11,12*Q11,0)))))</f>
        <v>0</v>
      </c>
      <c r="S11" s="286"/>
      <c r="T11" s="286">
        <f t="shared" ref="T11:T25" si="4">IF(S11&gt;0,S11,R11)</f>
        <v>0</v>
      </c>
      <c r="U11" s="286">
        <v>1</v>
      </c>
      <c r="V11" s="286">
        <f t="shared" ref="V11:V25" si="5">U11*SUM(R11:S11)</f>
        <v>0</v>
      </c>
      <c r="W11" s="286"/>
      <c r="X11" s="286">
        <f t="shared" ref="X11:X25" si="6">IF(AD11&gt;AE11,0,IF(AF11&lt;AG11,P11,IF(AND(AF11&gt;=AG11,AF11&lt;=AE11),(P11-T11),IF(AND(AG11&lt;=AD11,AE11&gt;=AD11),0,IF(AF11&gt;AE11,((AG11-AD11)*12)*Q11,0)))))</f>
        <v>90359.2</v>
      </c>
      <c r="Y11" s="286">
        <f t="shared" ref="Y11:Y25" si="7">X11*U11</f>
        <v>90359.2</v>
      </c>
      <c r="Z11" s="286">
        <v>1</v>
      </c>
      <c r="AA11" s="286">
        <f t="shared" ref="AA11:AA25" si="8">Y11*Z11</f>
        <v>90359.2</v>
      </c>
      <c r="AB11" s="286">
        <f t="shared" ref="AB11:AB25" si="9">IF(O11&gt;0,0,AA11+V11*Z11)*Z11</f>
        <v>90359.2</v>
      </c>
      <c r="AC11" s="286">
        <f t="shared" ref="AC11:AC25" si="10">IF(O11&gt;0,(N11-AA11)/2,IF(AD11&gt;=AG11,(((N11*U11)*Z11)-AB11)/2,((((N11*U11)*Z11)-AA11)+(((N11*U11)*Z11)-AB11))/2))</f>
        <v>22589.800000000003</v>
      </c>
      <c r="AD11" s="286">
        <f t="shared" ref="AD11:AD35" si="11">$E11+(($F11-1)/12)</f>
        <v>2004.6666666666667</v>
      </c>
      <c r="AE11" s="286">
        <f t="shared" ref="AE11:AE541" si="12">($P$5+1)-($P$2/12)</f>
        <v>2018</v>
      </c>
      <c r="AF11" s="286">
        <f t="shared" ref="AF11:AF35" si="13">$K11+(($F11-1)/12)</f>
        <v>2011.6666666666667</v>
      </c>
      <c r="AG11" s="286">
        <f t="shared" ref="AG11:AG541" si="14">$P$4+($P$3/12)</f>
        <v>2017</v>
      </c>
      <c r="AH11" s="286">
        <f t="shared" ref="AH11:AH35" si="15">$L11+(($M11-1)/12)</f>
        <v>-8.3333333333333329E-2</v>
      </c>
      <c r="AJ11" s="11">
        <f>+IF((AF11-AG11)&gt;3,((N11-P11)/(AF11-AG11)),(N11-P11)/3)</f>
        <v>7529.9333333333343</v>
      </c>
      <c r="AL11" s="11">
        <f>+AJ11+R11</f>
        <v>7529.9333333333343</v>
      </c>
      <c r="AN11" s="11">
        <f>+IF(AF11&lt;AG11,-AC11,0)</f>
        <v>-22589.800000000003</v>
      </c>
      <c r="AP11" s="11">
        <f>+IF(AF11&gt;AG11,IF(AJ11&gt;0,IF(O11&gt;0,(N11-AA11)/2,IF(AD11&gt;=AG11,(((N11*U11)*Z11)-(AB11+AJ11))/2,((((N11*U11)*Z11)-AA11)+(((N11*U11)*Z11)-(AB11+AJ11)))/2)),0),0)</f>
        <v>0</v>
      </c>
      <c r="AR11" s="11">
        <f t="shared" ref="AR11:AR35" si="16">+AC11+AN11+(IF(AP11&gt;0,(AP11-AC11),0))</f>
        <v>0</v>
      </c>
    </row>
    <row r="12" spans="1:80">
      <c r="B12" s="284" t="s">
        <v>84</v>
      </c>
      <c r="D12" s="306" t="s">
        <v>89</v>
      </c>
      <c r="E12" s="282">
        <v>2005</v>
      </c>
      <c r="F12" s="284">
        <v>12</v>
      </c>
      <c r="G12" s="307">
        <v>0</v>
      </c>
      <c r="H12" s="286"/>
      <c r="I12" s="308" t="s">
        <v>86</v>
      </c>
      <c r="J12" s="284">
        <v>3</v>
      </c>
      <c r="K12" s="309">
        <f t="shared" si="0"/>
        <v>2008</v>
      </c>
      <c r="N12" s="285">
        <v>9887</v>
      </c>
      <c r="P12" s="286">
        <f t="shared" si="1"/>
        <v>9887</v>
      </c>
      <c r="Q12" s="286">
        <f t="shared" si="2"/>
        <v>274.63888888888886</v>
      </c>
      <c r="R12" s="286">
        <f t="shared" si="3"/>
        <v>0</v>
      </c>
      <c r="S12" s="286"/>
      <c r="T12" s="286">
        <f t="shared" si="4"/>
        <v>0</v>
      </c>
      <c r="U12" s="286">
        <v>1</v>
      </c>
      <c r="V12" s="286">
        <f t="shared" si="5"/>
        <v>0</v>
      </c>
      <c r="W12" s="286"/>
      <c r="X12" s="286">
        <f t="shared" si="6"/>
        <v>9887</v>
      </c>
      <c r="Y12" s="286">
        <f t="shared" si="7"/>
        <v>9887</v>
      </c>
      <c r="Z12" s="286">
        <v>1</v>
      </c>
      <c r="AA12" s="286">
        <f t="shared" si="8"/>
        <v>9887</v>
      </c>
      <c r="AB12" s="286">
        <f t="shared" si="9"/>
        <v>9887</v>
      </c>
      <c r="AC12" s="286">
        <f t="shared" si="10"/>
        <v>0</v>
      </c>
      <c r="AD12" s="286">
        <f t="shared" si="11"/>
        <v>2005.9166666666667</v>
      </c>
      <c r="AE12" s="286">
        <f t="shared" si="12"/>
        <v>2018</v>
      </c>
      <c r="AF12" s="286">
        <f t="shared" si="13"/>
        <v>2008.9166666666667</v>
      </c>
      <c r="AG12" s="286">
        <f t="shared" si="14"/>
        <v>2017</v>
      </c>
      <c r="AH12" s="286">
        <f t="shared" si="15"/>
        <v>-8.3333333333333329E-2</v>
      </c>
      <c r="AJ12" s="11">
        <f t="shared" ref="AJ12:AJ35" si="17">+IF((AF12-AG12)&gt;3,((N12-P12)/(AF12-AG12)),(N12-P12)/3)</f>
        <v>0</v>
      </c>
      <c r="AL12" s="11">
        <f t="shared" ref="AL12:AL35" si="18">+AJ12+R12</f>
        <v>0</v>
      </c>
      <c r="AN12" s="11">
        <f t="shared" ref="AN12:AN35" si="19">+IF(AF12&lt;AG12,-AC12,0)</f>
        <v>0</v>
      </c>
      <c r="AP12" s="11">
        <f t="shared" ref="AP12:AP35" si="20">+IF(AF12&gt;AG12,IF(AJ12&gt;0,IF(O12&gt;0,(N12-AA12)/2,IF(AD12&gt;=AG12,(((N12*U12)*Z12)-(AB12+AJ12))/2,((((N12*U12)*Z12)-AA12)+(((N12*U12)*Z12)-(AB12+AJ12)))/2)),0),0)</f>
        <v>0</v>
      </c>
      <c r="AR12" s="11">
        <f t="shared" si="16"/>
        <v>0</v>
      </c>
    </row>
    <row r="13" spans="1:80">
      <c r="B13" s="284" t="s">
        <v>90</v>
      </c>
      <c r="C13" s="309" t="s">
        <v>91</v>
      </c>
      <c r="D13" s="306" t="s">
        <v>92</v>
      </c>
      <c r="E13" s="282">
        <v>2007</v>
      </c>
      <c r="F13" s="284">
        <v>1</v>
      </c>
      <c r="G13" s="307">
        <v>0.2</v>
      </c>
      <c r="H13" s="286"/>
      <c r="I13" s="308" t="s">
        <v>86</v>
      </c>
      <c r="J13" s="284">
        <v>7</v>
      </c>
      <c r="K13" s="309">
        <f t="shared" si="0"/>
        <v>2014</v>
      </c>
      <c r="N13" s="285">
        <v>29915.5</v>
      </c>
      <c r="O13" s="310"/>
      <c r="P13" s="286">
        <f t="shared" si="1"/>
        <v>23932.400000000001</v>
      </c>
      <c r="Q13" s="286">
        <f t="shared" si="2"/>
        <v>284.90952380952382</v>
      </c>
      <c r="R13" s="286">
        <f t="shared" si="3"/>
        <v>0</v>
      </c>
      <c r="S13" s="286"/>
      <c r="T13" s="286">
        <f t="shared" si="4"/>
        <v>0</v>
      </c>
      <c r="U13" s="286">
        <v>1</v>
      </c>
      <c r="V13" s="286">
        <f t="shared" si="5"/>
        <v>0</v>
      </c>
      <c r="W13" s="286"/>
      <c r="X13" s="286">
        <f t="shared" si="6"/>
        <v>23932.400000000001</v>
      </c>
      <c r="Y13" s="286">
        <f t="shared" si="7"/>
        <v>23932.400000000001</v>
      </c>
      <c r="Z13" s="286">
        <v>1</v>
      </c>
      <c r="AA13" s="286">
        <f t="shared" si="8"/>
        <v>23932.400000000001</v>
      </c>
      <c r="AB13" s="286">
        <f t="shared" si="9"/>
        <v>23932.400000000001</v>
      </c>
      <c r="AC13" s="286">
        <f t="shared" si="10"/>
        <v>5983.0999999999985</v>
      </c>
      <c r="AD13" s="286">
        <f t="shared" si="11"/>
        <v>2007</v>
      </c>
      <c r="AE13" s="286">
        <f t="shared" si="12"/>
        <v>2018</v>
      </c>
      <c r="AF13" s="286">
        <f t="shared" si="13"/>
        <v>2014</v>
      </c>
      <c r="AG13" s="286">
        <f t="shared" si="14"/>
        <v>2017</v>
      </c>
      <c r="AH13" s="286">
        <f t="shared" si="15"/>
        <v>-8.3333333333333329E-2</v>
      </c>
      <c r="AJ13" s="11">
        <f t="shared" si="17"/>
        <v>1994.3666666666661</v>
      </c>
      <c r="AL13" s="11">
        <f t="shared" si="18"/>
        <v>1994.3666666666661</v>
      </c>
      <c r="AN13" s="11">
        <f t="shared" si="19"/>
        <v>-5983.0999999999985</v>
      </c>
      <c r="AP13" s="11">
        <f t="shared" si="20"/>
        <v>0</v>
      </c>
      <c r="AR13" s="11">
        <f t="shared" si="16"/>
        <v>0</v>
      </c>
    </row>
    <row r="14" spans="1:80">
      <c r="B14" s="284" t="s">
        <v>94</v>
      </c>
      <c r="C14" s="282">
        <v>10</v>
      </c>
      <c r="D14" s="306" t="s">
        <v>95</v>
      </c>
      <c r="E14" s="282">
        <v>2007</v>
      </c>
      <c r="F14" s="284">
        <v>12</v>
      </c>
      <c r="G14" s="307">
        <v>0.2</v>
      </c>
      <c r="H14" s="286"/>
      <c r="I14" s="308" t="s">
        <v>86</v>
      </c>
      <c r="J14" s="284">
        <v>7</v>
      </c>
      <c r="K14" s="309">
        <f t="shared" si="0"/>
        <v>2014</v>
      </c>
      <c r="N14" s="285">
        <f>128239.25+141041.05</f>
        <v>269280.3</v>
      </c>
      <c r="O14" s="310"/>
      <c r="P14" s="286">
        <f t="shared" si="1"/>
        <v>215424.24</v>
      </c>
      <c r="Q14" s="286">
        <f t="shared" si="2"/>
        <v>2564.5742857142855</v>
      </c>
      <c r="R14" s="286">
        <f t="shared" si="3"/>
        <v>0</v>
      </c>
      <c r="S14" s="286"/>
      <c r="T14" s="286">
        <f t="shared" si="4"/>
        <v>0</v>
      </c>
      <c r="U14" s="286">
        <v>1</v>
      </c>
      <c r="V14" s="286">
        <f t="shared" si="5"/>
        <v>0</v>
      </c>
      <c r="W14" s="286"/>
      <c r="X14" s="286">
        <f t="shared" si="6"/>
        <v>215424.24</v>
      </c>
      <c r="Y14" s="286">
        <f t="shared" si="7"/>
        <v>215424.24</v>
      </c>
      <c r="Z14" s="286">
        <v>1</v>
      </c>
      <c r="AA14" s="286">
        <f t="shared" si="8"/>
        <v>215424.24</v>
      </c>
      <c r="AB14" s="286">
        <f t="shared" si="9"/>
        <v>215424.24</v>
      </c>
      <c r="AC14" s="286">
        <f t="shared" si="10"/>
        <v>53856.06</v>
      </c>
      <c r="AD14" s="286">
        <f t="shared" si="11"/>
        <v>2007.9166666666667</v>
      </c>
      <c r="AE14" s="286">
        <f t="shared" si="12"/>
        <v>2018</v>
      </c>
      <c r="AF14" s="286">
        <f t="shared" si="13"/>
        <v>2014.9166666666667</v>
      </c>
      <c r="AG14" s="286">
        <f t="shared" si="14"/>
        <v>2017</v>
      </c>
      <c r="AH14" s="286">
        <f t="shared" si="15"/>
        <v>-8.3333333333333329E-2</v>
      </c>
      <c r="AJ14" s="11">
        <f t="shared" si="17"/>
        <v>17952.02</v>
      </c>
      <c r="AL14" s="11">
        <f t="shared" si="18"/>
        <v>17952.02</v>
      </c>
      <c r="AN14" s="11">
        <f t="shared" si="19"/>
        <v>-53856.06</v>
      </c>
      <c r="AP14" s="11">
        <f t="shared" si="20"/>
        <v>0</v>
      </c>
      <c r="AR14" s="11">
        <f t="shared" si="16"/>
        <v>0</v>
      </c>
    </row>
    <row r="15" spans="1:80">
      <c r="A15" s="282" t="s">
        <v>398</v>
      </c>
      <c r="B15" s="284"/>
      <c r="C15" s="309">
        <v>16</v>
      </c>
      <c r="D15" s="306" t="s">
        <v>401</v>
      </c>
      <c r="E15" s="282">
        <v>2007</v>
      </c>
      <c r="F15" s="284">
        <v>11</v>
      </c>
      <c r="G15" s="307">
        <v>0</v>
      </c>
      <c r="H15" s="286"/>
      <c r="I15" s="308" t="s">
        <v>86</v>
      </c>
      <c r="J15" s="284">
        <v>10</v>
      </c>
      <c r="K15" s="309">
        <f>E15+J15</f>
        <v>2017</v>
      </c>
      <c r="N15" s="285">
        <v>861.33</v>
      </c>
      <c r="O15" s="310"/>
      <c r="P15" s="286">
        <f t="shared" ref="P15:P17" si="21">N15-N15*G15</f>
        <v>861.33</v>
      </c>
      <c r="Q15" s="286">
        <f t="shared" ref="Q15:Q17" si="22">P15/J15/12</f>
        <v>7.1777500000000005</v>
      </c>
      <c r="R15" s="286">
        <f t="shared" ref="R15" si="23">IF(O15&gt;0,0,IF(OR(AD15&gt;AE15,AF15&lt;AG15),0,IF(AND(AF15&gt;=AG15,AF15&lt;=AE15),Q15*((AF15-AG15)*12),IF(AND(AG15&lt;=AD15,AE15&gt;=AD15),((AE15-AD15)*12)*Q15,IF(AF15&gt;AE15,12*Q15,0)))))</f>
        <v>71.777499999993481</v>
      </c>
      <c r="S15" s="286"/>
      <c r="T15" s="286">
        <f t="shared" ref="T15" si="24">IF(S15&gt;0,S15,R15)</f>
        <v>71.777499999993481</v>
      </c>
      <c r="U15" s="286">
        <v>1</v>
      </c>
      <c r="V15" s="286">
        <f t="shared" ref="V15" si="25">U15*SUM(R15:S15)</f>
        <v>71.777499999993481</v>
      </c>
      <c r="W15" s="286"/>
      <c r="X15" s="286">
        <f t="shared" ref="X15" si="26">IF(AD15&gt;AE15,0,IF(AF15&lt;AG15,P15,IF(AND(AF15&gt;=AG15,AF15&lt;=AE15),(P15-T15),IF(AND(AG15&lt;=AD15,AE15&gt;=AD15),0,IF(AF15&gt;AE15,((AG15-AD15)*12)*Q15,0)))))</f>
        <v>789.5525000000066</v>
      </c>
      <c r="Y15" s="286">
        <f t="shared" ref="Y15" si="27">X15*U15</f>
        <v>789.5525000000066</v>
      </c>
      <c r="Z15" s="286">
        <v>1</v>
      </c>
      <c r="AA15" s="286">
        <f t="shared" ref="AA15" si="28">Y15*Z15</f>
        <v>789.5525000000066</v>
      </c>
      <c r="AB15" s="286">
        <f t="shared" ref="AB15" si="29">IF(O15&gt;0,0,AA15+V15*Z15)*Z15</f>
        <v>861.33</v>
      </c>
      <c r="AC15" s="286">
        <f t="shared" ref="AC15" si="30">IF(O15&gt;0,(N15-AA15)/2,IF(AD15&gt;=AG15,(((N15*U15)*Z15)-AB15)/2,((((N15*U15)*Z15)-AA15)+(((N15*U15)*Z15)-AB15))/2))</f>
        <v>35.888749999996719</v>
      </c>
      <c r="AD15" s="286">
        <f>$E15+(($F15-1)/12)</f>
        <v>2007.8333333333333</v>
      </c>
      <c r="AE15" s="286">
        <f t="shared" si="12"/>
        <v>2018</v>
      </c>
      <c r="AF15" s="286">
        <f>$K15+(($F15-1)/12)</f>
        <v>2017.8333333333333</v>
      </c>
      <c r="AG15" s="286">
        <f t="shared" si="14"/>
        <v>2017</v>
      </c>
      <c r="AH15" s="286">
        <f>$L15+(($M15-1)/12)</f>
        <v>-8.3333333333333329E-2</v>
      </c>
      <c r="AJ15" s="11">
        <f t="shared" si="17"/>
        <v>0</v>
      </c>
      <c r="AL15" s="11">
        <f t="shared" si="18"/>
        <v>71.777499999993481</v>
      </c>
      <c r="AN15" s="11">
        <f t="shared" si="19"/>
        <v>0</v>
      </c>
      <c r="AP15" s="11">
        <f t="shared" si="20"/>
        <v>0</v>
      </c>
      <c r="AR15" s="11">
        <f t="shared" si="16"/>
        <v>35.888749999996719</v>
      </c>
    </row>
    <row r="16" spans="1:80">
      <c r="A16" s="282">
        <v>174774</v>
      </c>
      <c r="B16" s="284" t="s">
        <v>331</v>
      </c>
      <c r="C16" s="309">
        <v>16</v>
      </c>
      <c r="D16" s="306" t="s">
        <v>397</v>
      </c>
      <c r="E16" s="282">
        <v>2007</v>
      </c>
      <c r="F16" s="284">
        <v>11</v>
      </c>
      <c r="G16" s="307">
        <v>0.2</v>
      </c>
      <c r="H16" s="286"/>
      <c r="I16" s="308" t="s">
        <v>86</v>
      </c>
      <c r="J16" s="284">
        <v>10</v>
      </c>
      <c r="K16" s="309">
        <f>E16+J16</f>
        <v>2017</v>
      </c>
      <c r="N16" s="285">
        <v>128398.25</v>
      </c>
      <c r="O16" s="310"/>
      <c r="P16" s="286">
        <f t="shared" ref="P16" si="31">N16-N16*G16</f>
        <v>102718.6</v>
      </c>
      <c r="Q16" s="286">
        <f t="shared" ref="Q16" si="32">P16/J16/12</f>
        <v>855.98833333333334</v>
      </c>
      <c r="R16" s="286">
        <f t="shared" ref="R16" si="33">IF(O16&gt;0,0,IF(OR(AD16&gt;AE16,AF16&lt;AG16),0,IF(AND(AF16&gt;=AG16,AF16&lt;=AE16),Q16*((AF16-AG16)*12),IF(AND(AG16&lt;=AD16,AE16&gt;=AD16),((AE16-AD16)*12)*Q16,IF(AF16&gt;AE16,12*Q16,0)))))</f>
        <v>8559.8833333325547</v>
      </c>
      <c r="S16" s="286"/>
      <c r="T16" s="286">
        <f t="shared" ref="T16" si="34">IF(S16&gt;0,S16,R16)</f>
        <v>8559.8833333325547</v>
      </c>
      <c r="U16" s="286">
        <v>1</v>
      </c>
      <c r="V16" s="286">
        <f t="shared" ref="V16" si="35">U16*SUM(R16:S16)</f>
        <v>8559.8833333325547</v>
      </c>
      <c r="W16" s="286"/>
      <c r="X16" s="286">
        <f t="shared" ref="X16" si="36">IF(AD16&gt;AE16,0,IF(AF16&lt;AG16,P16,IF(AND(AF16&gt;=AG16,AF16&lt;=AE16),(P16-T16),IF(AND(AG16&lt;=AD16,AE16&gt;=AD16),0,IF(AF16&gt;AE16,((AG16-AD16)*12)*Q16,0)))))</f>
        <v>94158.716666667446</v>
      </c>
      <c r="Y16" s="286">
        <f t="shared" ref="Y16" si="37">X16*U16</f>
        <v>94158.716666667446</v>
      </c>
      <c r="Z16" s="286">
        <v>1</v>
      </c>
      <c r="AA16" s="286">
        <f t="shared" ref="AA16" si="38">Y16*Z16</f>
        <v>94158.716666667446</v>
      </c>
      <c r="AB16" s="286">
        <f t="shared" ref="AB16" si="39">IF(O16&gt;0,0,AA16+V16*Z16)*Z16</f>
        <v>102718.6</v>
      </c>
      <c r="AC16" s="286">
        <f t="shared" ref="AC16" si="40">IF(O16&gt;0,(N16-AA16)/2,IF(AD16&gt;=AG16,(((N16*U16)*Z16)-AB16)/2,((((N16*U16)*Z16)-AA16)+(((N16*U16)*Z16)-AB16))/2))</f>
        <v>29959.591666666274</v>
      </c>
      <c r="AD16" s="286">
        <f>$E16+(($F16-1)/12)</f>
        <v>2007.8333333333333</v>
      </c>
      <c r="AE16" s="286">
        <f t="shared" si="12"/>
        <v>2018</v>
      </c>
      <c r="AF16" s="286">
        <f>$K16+(($F16-1)/12)</f>
        <v>2017.8333333333333</v>
      </c>
      <c r="AG16" s="286">
        <f t="shared" si="14"/>
        <v>2017</v>
      </c>
      <c r="AH16" s="286">
        <f>$L16+(($M16-1)/12)</f>
        <v>-8.3333333333333329E-2</v>
      </c>
      <c r="AJ16" s="11">
        <f>+IF((AF16-AG16)&gt;3,((N16-P16)/(AF16-AG16)),(N16-P16)/3)</f>
        <v>8559.8833333333314</v>
      </c>
      <c r="AL16" s="11">
        <f>+AJ16+R16</f>
        <v>17119.766666665884</v>
      </c>
      <c r="AN16" s="11">
        <f>+IF(AF16&lt;AG16,-AC16,0)</f>
        <v>0</v>
      </c>
      <c r="AP16" s="11">
        <f>+IF(AF16&gt;AG16,IF(AJ16&gt;0,IF(O16&gt;0,(N16-AA16)/2,IF(AD16&gt;=AG16,(((N16*U16)*Z16)-(AB16+AJ16))/2,((((N16*U16)*Z16)-AA16)+(((N16*U16)*Z16)-(AB16+AJ16)))/2)),0),0)</f>
        <v>25679.649999999609</v>
      </c>
      <c r="AR16" s="11">
        <f>+AC16+AN16+(IF(AP16&gt;0,(AP16-AC16),0))</f>
        <v>25679.649999999609</v>
      </c>
    </row>
    <row r="17" spans="1:44">
      <c r="A17" s="282" t="s">
        <v>428</v>
      </c>
      <c r="B17" s="284" t="s">
        <v>331</v>
      </c>
      <c r="C17" s="309">
        <v>16</v>
      </c>
      <c r="D17" s="306" t="s">
        <v>429</v>
      </c>
      <c r="E17" s="282">
        <v>2008</v>
      </c>
      <c r="F17" s="284">
        <v>1</v>
      </c>
      <c r="G17" s="307">
        <v>0.2</v>
      </c>
      <c r="H17" s="286"/>
      <c r="I17" s="308" t="s">
        <v>86</v>
      </c>
      <c r="J17" s="284">
        <v>9.11</v>
      </c>
      <c r="K17" s="309">
        <f>E17+J17</f>
        <v>2017.11</v>
      </c>
      <c r="N17" s="285">
        <v>96133.02</v>
      </c>
      <c r="O17" s="310"/>
      <c r="P17" s="286">
        <f t="shared" si="21"/>
        <v>76906.415999999997</v>
      </c>
      <c r="Q17" s="286">
        <f t="shared" si="22"/>
        <v>703.49813391877058</v>
      </c>
      <c r="R17" s="286">
        <f t="shared" ref="R17" si="41">IF(O17&gt;0,0,IF(OR(AD17&gt;AE17,AF17&lt;AG17),0,IF(AND(AF17&gt;=AG17,AF17&lt;=AE17),Q17*((AF17-AG17)*12),IF(AND(AG17&lt;=AD17,AE17&gt;=AD17),((AE17-AD17)*12)*Q17,IF(AF17&gt;AE17,12*Q17,0)))))</f>
        <v>928.61753677193258</v>
      </c>
      <c r="S17" s="286"/>
      <c r="T17" s="286">
        <f t="shared" ref="T17" si="42">IF(S17&gt;0,S17,R17)</f>
        <v>928.61753677193258</v>
      </c>
      <c r="U17" s="286">
        <v>1</v>
      </c>
      <c r="V17" s="286">
        <f t="shared" ref="V17" si="43">U17*SUM(R17:S17)</f>
        <v>928.61753677193258</v>
      </c>
      <c r="W17" s="286"/>
      <c r="X17" s="286">
        <f t="shared" ref="X17" si="44">IF(AD17&gt;AE17,0,IF(AF17&lt;AG17,P17,IF(AND(AF17&gt;=AG17,AF17&lt;=AE17),(P17-T17),IF(AND(AG17&lt;=AD17,AE17&gt;=AD17),0,IF(AF17&gt;AE17,((AG17-AD17)*12)*Q17,0)))))</f>
        <v>75977.798463228071</v>
      </c>
      <c r="Y17" s="286">
        <f t="shared" ref="Y17" si="45">X17*U17</f>
        <v>75977.798463228071</v>
      </c>
      <c r="Z17" s="286">
        <v>1</v>
      </c>
      <c r="AA17" s="286">
        <f t="shared" ref="AA17" si="46">Y17*Z17</f>
        <v>75977.798463228071</v>
      </c>
      <c r="AB17" s="286">
        <f t="shared" ref="AB17" si="47">IF(O17&gt;0,0,AA17+V17*Z17)*Z17</f>
        <v>76906.415999999997</v>
      </c>
      <c r="AC17" s="286">
        <f t="shared" ref="AC17" si="48">IF(O17&gt;0,(N17-AA17)/2,IF(AD17&gt;=AG17,(((N17*U17)*Z17)-AB17)/2,((((N17*U17)*Z17)-AA17)+(((N17*U17)*Z17)-AB17))/2))</f>
        <v>19690.91276838597</v>
      </c>
      <c r="AD17" s="286">
        <f>$E17+(($F17-1)/12)</f>
        <v>2008</v>
      </c>
      <c r="AE17" s="286">
        <f t="shared" si="12"/>
        <v>2018</v>
      </c>
      <c r="AF17" s="286">
        <f>$K17+(($F17-1)/12)</f>
        <v>2017.11</v>
      </c>
      <c r="AG17" s="286">
        <f t="shared" si="14"/>
        <v>2017</v>
      </c>
      <c r="AH17" s="286">
        <f>$L17+(($M17-1)/12)</f>
        <v>-8.3333333333333329E-2</v>
      </c>
      <c r="AJ17" s="11">
        <f t="shared" si="17"/>
        <v>6408.8680000000022</v>
      </c>
      <c r="AL17" s="11">
        <f t="shared" si="18"/>
        <v>7337.4855367719347</v>
      </c>
      <c r="AN17" s="11">
        <f t="shared" si="19"/>
        <v>0</v>
      </c>
      <c r="AP17" s="11">
        <f t="shared" si="20"/>
        <v>16486.478768385969</v>
      </c>
      <c r="AR17" s="11">
        <f t="shared" si="16"/>
        <v>16486.478768385969</v>
      </c>
    </row>
    <row r="18" spans="1:44">
      <c r="B18" s="284" t="s">
        <v>2</v>
      </c>
      <c r="D18" s="306" t="s">
        <v>96</v>
      </c>
      <c r="E18" s="282">
        <v>2008</v>
      </c>
      <c r="F18" s="284">
        <v>7</v>
      </c>
      <c r="G18" s="307">
        <v>0.2</v>
      </c>
      <c r="H18" s="286"/>
      <c r="I18" s="308" t="s">
        <v>86</v>
      </c>
      <c r="J18" s="284">
        <v>7</v>
      </c>
      <c r="K18" s="309">
        <f t="shared" si="0"/>
        <v>2015</v>
      </c>
      <c r="N18" s="285">
        <v>4160</v>
      </c>
      <c r="O18" s="310"/>
      <c r="P18" s="286">
        <f t="shared" si="1"/>
        <v>3328</v>
      </c>
      <c r="Q18" s="286">
        <f t="shared" si="2"/>
        <v>39.61904761904762</v>
      </c>
      <c r="R18" s="286">
        <f t="shared" si="3"/>
        <v>0</v>
      </c>
      <c r="S18" s="286"/>
      <c r="T18" s="286">
        <f t="shared" si="4"/>
        <v>0</v>
      </c>
      <c r="U18" s="286">
        <v>1</v>
      </c>
      <c r="V18" s="286">
        <f t="shared" si="5"/>
        <v>0</v>
      </c>
      <c r="W18" s="286"/>
      <c r="X18" s="286">
        <f t="shared" si="6"/>
        <v>3328</v>
      </c>
      <c r="Y18" s="286">
        <f t="shared" si="7"/>
        <v>3328</v>
      </c>
      <c r="Z18" s="286">
        <v>1</v>
      </c>
      <c r="AA18" s="286">
        <f t="shared" si="8"/>
        <v>3328</v>
      </c>
      <c r="AB18" s="286">
        <f t="shared" si="9"/>
        <v>3328</v>
      </c>
      <c r="AC18" s="286">
        <f t="shared" si="10"/>
        <v>832</v>
      </c>
      <c r="AD18" s="286">
        <f t="shared" si="11"/>
        <v>2008.5</v>
      </c>
      <c r="AE18" s="286">
        <f t="shared" si="12"/>
        <v>2018</v>
      </c>
      <c r="AF18" s="286">
        <f t="shared" si="13"/>
        <v>2015.5</v>
      </c>
      <c r="AG18" s="286">
        <f t="shared" si="14"/>
        <v>2017</v>
      </c>
      <c r="AH18" s="286">
        <f t="shared" si="15"/>
        <v>-8.3333333333333329E-2</v>
      </c>
      <c r="AJ18" s="11">
        <f t="shared" si="17"/>
        <v>277.33333333333331</v>
      </c>
      <c r="AL18" s="11">
        <f t="shared" si="18"/>
        <v>277.33333333333331</v>
      </c>
      <c r="AN18" s="11">
        <f t="shared" si="19"/>
        <v>-832</v>
      </c>
      <c r="AP18" s="11">
        <f t="shared" si="20"/>
        <v>0</v>
      </c>
      <c r="AR18" s="11">
        <f t="shared" si="16"/>
        <v>0</v>
      </c>
    </row>
    <row r="19" spans="1:44">
      <c r="B19" s="284" t="s">
        <v>94</v>
      </c>
      <c r="C19" s="282">
        <v>14</v>
      </c>
      <c r="D19" s="306" t="s">
        <v>98</v>
      </c>
      <c r="E19" s="282">
        <v>2009</v>
      </c>
      <c r="F19" s="284">
        <v>3</v>
      </c>
      <c r="G19" s="307">
        <v>0.33</v>
      </c>
      <c r="H19" s="286"/>
      <c r="I19" s="308" t="s">
        <v>86</v>
      </c>
      <c r="J19" s="284">
        <v>5</v>
      </c>
      <c r="K19" s="309">
        <f t="shared" si="0"/>
        <v>2014</v>
      </c>
      <c r="N19" s="285">
        <v>25333.34</v>
      </c>
      <c r="O19" s="310"/>
      <c r="P19" s="286">
        <f t="shared" si="1"/>
        <v>16973.337800000001</v>
      </c>
      <c r="Q19" s="286">
        <f t="shared" si="2"/>
        <v>282.88896333333338</v>
      </c>
      <c r="R19" s="286">
        <f t="shared" si="3"/>
        <v>0</v>
      </c>
      <c r="S19" s="286"/>
      <c r="T19" s="286">
        <f t="shared" si="4"/>
        <v>0</v>
      </c>
      <c r="U19" s="286">
        <v>1</v>
      </c>
      <c r="V19" s="286">
        <f t="shared" si="5"/>
        <v>0</v>
      </c>
      <c r="W19" s="286"/>
      <c r="X19" s="286">
        <f t="shared" si="6"/>
        <v>16973.337800000001</v>
      </c>
      <c r="Y19" s="286">
        <f t="shared" si="7"/>
        <v>16973.337800000001</v>
      </c>
      <c r="Z19" s="286">
        <v>1</v>
      </c>
      <c r="AA19" s="286">
        <f t="shared" si="8"/>
        <v>16973.337800000001</v>
      </c>
      <c r="AB19" s="286">
        <f t="shared" si="9"/>
        <v>16973.337800000001</v>
      </c>
      <c r="AC19" s="286">
        <f t="shared" si="10"/>
        <v>8360.002199999999</v>
      </c>
      <c r="AD19" s="286">
        <f t="shared" si="11"/>
        <v>2009.1666666666667</v>
      </c>
      <c r="AE19" s="286">
        <f t="shared" si="12"/>
        <v>2018</v>
      </c>
      <c r="AF19" s="286">
        <f t="shared" si="13"/>
        <v>2014.1666666666667</v>
      </c>
      <c r="AG19" s="286">
        <f t="shared" si="14"/>
        <v>2017</v>
      </c>
      <c r="AH19" s="286">
        <f t="shared" si="15"/>
        <v>-8.3333333333333329E-2</v>
      </c>
      <c r="AJ19" s="11">
        <f t="shared" si="17"/>
        <v>2786.6673999999998</v>
      </c>
      <c r="AL19" s="11">
        <f t="shared" si="18"/>
        <v>2786.6673999999998</v>
      </c>
      <c r="AN19" s="11">
        <f t="shared" si="19"/>
        <v>-8360.002199999999</v>
      </c>
      <c r="AP19" s="11">
        <f t="shared" si="20"/>
        <v>0</v>
      </c>
      <c r="AR19" s="11">
        <f t="shared" si="16"/>
        <v>0</v>
      </c>
    </row>
    <row r="20" spans="1:44">
      <c r="B20" s="284" t="s">
        <v>99</v>
      </c>
      <c r="C20" s="282">
        <v>31</v>
      </c>
      <c r="D20" s="306" t="s">
        <v>100</v>
      </c>
      <c r="E20" s="282">
        <v>2009</v>
      </c>
      <c r="F20" s="284">
        <v>12</v>
      </c>
      <c r="G20" s="307">
        <v>0.2</v>
      </c>
      <c r="H20" s="286"/>
      <c r="I20" s="308" t="s">
        <v>86</v>
      </c>
      <c r="J20" s="284">
        <v>7</v>
      </c>
      <c r="K20" s="309">
        <f t="shared" si="0"/>
        <v>2016</v>
      </c>
      <c r="N20" s="285">
        <v>143203.54999999999</v>
      </c>
      <c r="O20" s="310"/>
      <c r="P20" s="286">
        <f t="shared" si="1"/>
        <v>114562.84</v>
      </c>
      <c r="Q20" s="286">
        <f t="shared" si="2"/>
        <v>1363.8433333333332</v>
      </c>
      <c r="R20" s="286">
        <f t="shared" si="3"/>
        <v>0</v>
      </c>
      <c r="S20" s="286"/>
      <c r="T20" s="286">
        <f t="shared" si="4"/>
        <v>0</v>
      </c>
      <c r="U20" s="286">
        <v>1</v>
      </c>
      <c r="V20" s="286">
        <f t="shared" si="5"/>
        <v>0</v>
      </c>
      <c r="W20" s="286"/>
      <c r="X20" s="286">
        <f t="shared" si="6"/>
        <v>114562.84</v>
      </c>
      <c r="Y20" s="286">
        <f t="shared" si="7"/>
        <v>114562.84</v>
      </c>
      <c r="Z20" s="286">
        <v>1</v>
      </c>
      <c r="AA20" s="286">
        <f t="shared" si="8"/>
        <v>114562.84</v>
      </c>
      <c r="AB20" s="286">
        <f t="shared" si="9"/>
        <v>114562.84</v>
      </c>
      <c r="AC20" s="286">
        <f t="shared" si="10"/>
        <v>28640.709999999992</v>
      </c>
      <c r="AD20" s="286">
        <f t="shared" si="11"/>
        <v>2009.9166666666667</v>
      </c>
      <c r="AE20" s="286">
        <f t="shared" si="12"/>
        <v>2018</v>
      </c>
      <c r="AF20" s="286">
        <f t="shared" si="13"/>
        <v>2016.9166666666667</v>
      </c>
      <c r="AG20" s="286">
        <f t="shared" si="14"/>
        <v>2017</v>
      </c>
      <c r="AH20" s="286">
        <f t="shared" si="15"/>
        <v>-8.3333333333333329E-2</v>
      </c>
      <c r="AJ20" s="11">
        <f t="shared" si="17"/>
        <v>9546.90333333333</v>
      </c>
      <c r="AL20" s="11">
        <f t="shared" si="18"/>
        <v>9546.90333333333</v>
      </c>
      <c r="AN20" s="11">
        <f t="shared" si="19"/>
        <v>-28640.709999999992</v>
      </c>
      <c r="AP20" s="11">
        <f t="shared" si="20"/>
        <v>0</v>
      </c>
      <c r="AR20" s="11">
        <f t="shared" si="16"/>
        <v>0</v>
      </c>
    </row>
    <row r="21" spans="1:44">
      <c r="B21" s="284" t="s">
        <v>99</v>
      </c>
      <c r="C21" s="282">
        <v>33</v>
      </c>
      <c r="D21" s="306" t="s">
        <v>102</v>
      </c>
      <c r="E21" s="282">
        <v>2009</v>
      </c>
      <c r="F21" s="284">
        <v>12</v>
      </c>
      <c r="G21" s="307">
        <v>0.2</v>
      </c>
      <c r="H21" s="286"/>
      <c r="I21" s="308" t="s">
        <v>86</v>
      </c>
      <c r="J21" s="284">
        <v>7</v>
      </c>
      <c r="K21" s="309">
        <f t="shared" si="0"/>
        <v>2016</v>
      </c>
      <c r="N21" s="285">
        <v>143203.54999999999</v>
      </c>
      <c r="O21" s="310"/>
      <c r="P21" s="286">
        <f t="shared" si="1"/>
        <v>114562.84</v>
      </c>
      <c r="Q21" s="286">
        <f t="shared" si="2"/>
        <v>1363.8433333333332</v>
      </c>
      <c r="R21" s="286">
        <f t="shared" si="3"/>
        <v>0</v>
      </c>
      <c r="S21" s="286"/>
      <c r="T21" s="286">
        <f t="shared" si="4"/>
        <v>0</v>
      </c>
      <c r="U21" s="286">
        <v>1</v>
      </c>
      <c r="V21" s="286">
        <f t="shared" si="5"/>
        <v>0</v>
      </c>
      <c r="W21" s="286"/>
      <c r="X21" s="286">
        <f t="shared" si="6"/>
        <v>114562.84</v>
      </c>
      <c r="Y21" s="286">
        <f t="shared" si="7"/>
        <v>114562.84</v>
      </c>
      <c r="Z21" s="286">
        <v>1</v>
      </c>
      <c r="AA21" s="286">
        <f t="shared" si="8"/>
        <v>114562.84</v>
      </c>
      <c r="AB21" s="286">
        <f t="shared" si="9"/>
        <v>114562.84</v>
      </c>
      <c r="AC21" s="286">
        <f t="shared" si="10"/>
        <v>28640.709999999992</v>
      </c>
      <c r="AD21" s="286">
        <f t="shared" si="11"/>
        <v>2009.9166666666667</v>
      </c>
      <c r="AE21" s="286">
        <f t="shared" si="12"/>
        <v>2018</v>
      </c>
      <c r="AF21" s="286">
        <f t="shared" si="13"/>
        <v>2016.9166666666667</v>
      </c>
      <c r="AG21" s="286">
        <f t="shared" si="14"/>
        <v>2017</v>
      </c>
      <c r="AH21" s="286">
        <f t="shared" si="15"/>
        <v>-8.3333333333333329E-2</v>
      </c>
      <c r="AJ21" s="11">
        <f t="shared" si="17"/>
        <v>9546.90333333333</v>
      </c>
      <c r="AL21" s="11">
        <f t="shared" si="18"/>
        <v>9546.90333333333</v>
      </c>
      <c r="AN21" s="11">
        <f t="shared" si="19"/>
        <v>-28640.709999999992</v>
      </c>
      <c r="AP21" s="11">
        <f t="shared" si="20"/>
        <v>0</v>
      </c>
      <c r="AR21" s="11">
        <f t="shared" si="16"/>
        <v>0</v>
      </c>
    </row>
    <row r="22" spans="1:44">
      <c r="B22" s="284" t="s">
        <v>99</v>
      </c>
      <c r="C22" s="282">
        <v>35</v>
      </c>
      <c r="D22" s="306" t="s">
        <v>104</v>
      </c>
      <c r="E22" s="282">
        <v>2009</v>
      </c>
      <c r="F22" s="284">
        <v>12</v>
      </c>
      <c r="G22" s="307">
        <v>0.2</v>
      </c>
      <c r="H22" s="286"/>
      <c r="I22" s="308" t="s">
        <v>86</v>
      </c>
      <c r="J22" s="284">
        <v>7</v>
      </c>
      <c r="K22" s="309">
        <f t="shared" si="0"/>
        <v>2016</v>
      </c>
      <c r="N22" s="285">
        <v>143203.54999999999</v>
      </c>
      <c r="O22" s="310"/>
      <c r="P22" s="286">
        <f t="shared" si="1"/>
        <v>114562.84</v>
      </c>
      <c r="Q22" s="286">
        <f t="shared" si="2"/>
        <v>1363.8433333333332</v>
      </c>
      <c r="R22" s="286">
        <f t="shared" si="3"/>
        <v>0</v>
      </c>
      <c r="S22" s="286"/>
      <c r="T22" s="286">
        <f t="shared" si="4"/>
        <v>0</v>
      </c>
      <c r="U22" s="286">
        <v>1</v>
      </c>
      <c r="V22" s="286">
        <f t="shared" si="5"/>
        <v>0</v>
      </c>
      <c r="W22" s="286"/>
      <c r="X22" s="286">
        <f t="shared" si="6"/>
        <v>114562.84</v>
      </c>
      <c r="Y22" s="286">
        <f t="shared" si="7"/>
        <v>114562.84</v>
      </c>
      <c r="Z22" s="286">
        <v>1</v>
      </c>
      <c r="AA22" s="286">
        <f t="shared" si="8"/>
        <v>114562.84</v>
      </c>
      <c r="AB22" s="286">
        <f t="shared" si="9"/>
        <v>114562.84</v>
      </c>
      <c r="AC22" s="286">
        <f t="shared" si="10"/>
        <v>28640.709999999992</v>
      </c>
      <c r="AD22" s="286">
        <f t="shared" si="11"/>
        <v>2009.9166666666667</v>
      </c>
      <c r="AE22" s="286">
        <f t="shared" si="12"/>
        <v>2018</v>
      </c>
      <c r="AF22" s="286">
        <f t="shared" si="13"/>
        <v>2016.9166666666667</v>
      </c>
      <c r="AG22" s="286">
        <f t="shared" si="14"/>
        <v>2017</v>
      </c>
      <c r="AH22" s="286">
        <f t="shared" si="15"/>
        <v>-8.3333333333333329E-2</v>
      </c>
      <c r="AJ22" s="11">
        <f t="shared" si="17"/>
        <v>9546.90333333333</v>
      </c>
      <c r="AL22" s="11">
        <f t="shared" si="18"/>
        <v>9546.90333333333</v>
      </c>
      <c r="AN22" s="11">
        <f t="shared" si="19"/>
        <v>-28640.709999999992</v>
      </c>
      <c r="AP22" s="11">
        <f t="shared" si="20"/>
        <v>0</v>
      </c>
      <c r="AR22" s="11">
        <f t="shared" si="16"/>
        <v>0</v>
      </c>
    </row>
    <row r="23" spans="1:44">
      <c r="B23" s="284" t="s">
        <v>99</v>
      </c>
      <c r="C23" s="282">
        <v>36</v>
      </c>
      <c r="D23" s="306" t="s">
        <v>105</v>
      </c>
      <c r="E23" s="282">
        <v>2009</v>
      </c>
      <c r="F23" s="284">
        <v>12</v>
      </c>
      <c r="G23" s="307">
        <v>0.2</v>
      </c>
      <c r="H23" s="286"/>
      <c r="I23" s="308" t="s">
        <v>86</v>
      </c>
      <c r="J23" s="284">
        <v>7</v>
      </c>
      <c r="K23" s="309">
        <f t="shared" si="0"/>
        <v>2016</v>
      </c>
      <c r="N23" s="285">
        <v>135051.04999999999</v>
      </c>
      <c r="O23" s="310"/>
      <c r="P23" s="286">
        <f t="shared" si="1"/>
        <v>108040.84</v>
      </c>
      <c r="Q23" s="286">
        <f t="shared" si="2"/>
        <v>1286.2004761904761</v>
      </c>
      <c r="R23" s="286">
        <f t="shared" si="3"/>
        <v>0</v>
      </c>
      <c r="S23" s="286"/>
      <c r="T23" s="286">
        <f t="shared" si="4"/>
        <v>0</v>
      </c>
      <c r="U23" s="286">
        <v>1</v>
      </c>
      <c r="V23" s="286">
        <f t="shared" si="5"/>
        <v>0</v>
      </c>
      <c r="W23" s="286"/>
      <c r="X23" s="286">
        <f t="shared" si="6"/>
        <v>108040.84</v>
      </c>
      <c r="Y23" s="286">
        <f t="shared" si="7"/>
        <v>108040.84</v>
      </c>
      <c r="Z23" s="286">
        <v>1</v>
      </c>
      <c r="AA23" s="286">
        <f t="shared" si="8"/>
        <v>108040.84</v>
      </c>
      <c r="AB23" s="286">
        <f t="shared" si="9"/>
        <v>108040.84</v>
      </c>
      <c r="AC23" s="286">
        <f t="shared" si="10"/>
        <v>27010.209999999992</v>
      </c>
      <c r="AD23" s="286">
        <f t="shared" si="11"/>
        <v>2009.9166666666667</v>
      </c>
      <c r="AE23" s="286">
        <f t="shared" si="12"/>
        <v>2018</v>
      </c>
      <c r="AF23" s="286">
        <f t="shared" si="13"/>
        <v>2016.9166666666667</v>
      </c>
      <c r="AG23" s="286">
        <f t="shared" si="14"/>
        <v>2017</v>
      </c>
      <c r="AH23" s="286">
        <f t="shared" si="15"/>
        <v>-8.3333333333333329E-2</v>
      </c>
      <c r="AJ23" s="11">
        <f t="shared" si="17"/>
        <v>9003.40333333333</v>
      </c>
      <c r="AL23" s="11">
        <f t="shared" si="18"/>
        <v>9003.40333333333</v>
      </c>
      <c r="AN23" s="11">
        <f t="shared" si="19"/>
        <v>-27010.209999999992</v>
      </c>
      <c r="AP23" s="11">
        <f t="shared" si="20"/>
        <v>0</v>
      </c>
      <c r="AR23" s="11">
        <f t="shared" si="16"/>
        <v>0</v>
      </c>
    </row>
    <row r="24" spans="1:44">
      <c r="B24" s="284" t="s">
        <v>2</v>
      </c>
      <c r="C24" s="282">
        <v>11</v>
      </c>
      <c r="D24" s="306" t="s">
        <v>106</v>
      </c>
      <c r="E24" s="282">
        <v>2010</v>
      </c>
      <c r="F24" s="284">
        <v>3</v>
      </c>
      <c r="G24" s="307">
        <v>0.2</v>
      </c>
      <c r="H24" s="286"/>
      <c r="I24" s="308" t="s">
        <v>86</v>
      </c>
      <c r="J24" s="284">
        <v>7</v>
      </c>
      <c r="K24" s="309">
        <f t="shared" si="0"/>
        <v>2017</v>
      </c>
      <c r="N24" s="285">
        <f>17074-7760.9</f>
        <v>9313.1</v>
      </c>
      <c r="O24" s="310"/>
      <c r="P24" s="286">
        <f t="shared" si="1"/>
        <v>7450.4800000000005</v>
      </c>
      <c r="Q24" s="286">
        <f t="shared" si="2"/>
        <v>88.696190476190495</v>
      </c>
      <c r="R24" s="286">
        <f t="shared" si="3"/>
        <v>177.39238095246165</v>
      </c>
      <c r="S24" s="286"/>
      <c r="T24" s="286">
        <f t="shared" si="4"/>
        <v>177.39238095246165</v>
      </c>
      <c r="U24" s="286">
        <v>1</v>
      </c>
      <c r="V24" s="286">
        <f t="shared" si="5"/>
        <v>177.39238095246165</v>
      </c>
      <c r="W24" s="286"/>
      <c r="X24" s="286">
        <f t="shared" si="6"/>
        <v>7273.0876190475392</v>
      </c>
      <c r="Y24" s="286">
        <f t="shared" si="7"/>
        <v>7273.0876190475392</v>
      </c>
      <c r="Z24" s="286">
        <v>1</v>
      </c>
      <c r="AA24" s="286">
        <f t="shared" si="8"/>
        <v>7273.0876190475392</v>
      </c>
      <c r="AB24" s="286">
        <f t="shared" si="9"/>
        <v>7450.4800000000005</v>
      </c>
      <c r="AC24" s="286">
        <f t="shared" si="10"/>
        <v>1951.3161904762305</v>
      </c>
      <c r="AD24" s="286">
        <f t="shared" si="11"/>
        <v>2010.1666666666667</v>
      </c>
      <c r="AE24" s="286">
        <f t="shared" si="12"/>
        <v>2018</v>
      </c>
      <c r="AF24" s="286">
        <f t="shared" si="13"/>
        <v>2017.1666666666667</v>
      </c>
      <c r="AG24" s="286">
        <f t="shared" si="14"/>
        <v>2017</v>
      </c>
      <c r="AH24" s="286">
        <f t="shared" si="15"/>
        <v>-8.3333333333333329E-2</v>
      </c>
      <c r="AJ24" s="11">
        <f t="shared" si="17"/>
        <v>620.87333333333333</v>
      </c>
      <c r="AL24" s="11">
        <f t="shared" si="18"/>
        <v>798.26571428579496</v>
      </c>
      <c r="AN24" s="11">
        <f t="shared" si="19"/>
        <v>0</v>
      </c>
      <c r="AP24" s="11">
        <f t="shared" si="20"/>
        <v>1640.879523809564</v>
      </c>
      <c r="AR24" s="11">
        <f t="shared" si="16"/>
        <v>1640.879523809564</v>
      </c>
    </row>
    <row r="25" spans="1:44">
      <c r="A25" s="282">
        <v>95491</v>
      </c>
      <c r="B25" s="284" t="s">
        <v>2</v>
      </c>
      <c r="C25" s="309"/>
      <c r="D25" s="306" t="s">
        <v>290</v>
      </c>
      <c r="E25" s="282">
        <v>2012</v>
      </c>
      <c r="F25" s="284">
        <v>7</v>
      </c>
      <c r="G25" s="307">
        <v>0.2</v>
      </c>
      <c r="H25" s="286"/>
      <c r="I25" s="308" t="s">
        <v>86</v>
      </c>
      <c r="J25" s="284">
        <v>7</v>
      </c>
      <c r="K25" s="309">
        <f t="shared" si="0"/>
        <v>2019</v>
      </c>
      <c r="N25" s="285">
        <f>595*2</f>
        <v>1190</v>
      </c>
      <c r="O25" s="310"/>
      <c r="P25" s="286">
        <f t="shared" si="1"/>
        <v>952</v>
      </c>
      <c r="Q25" s="286">
        <f t="shared" si="2"/>
        <v>11.333333333333334</v>
      </c>
      <c r="R25" s="286">
        <f t="shared" si="3"/>
        <v>136</v>
      </c>
      <c r="S25" s="286"/>
      <c r="T25" s="286">
        <f t="shared" si="4"/>
        <v>136</v>
      </c>
      <c r="U25" s="286">
        <v>1</v>
      </c>
      <c r="V25" s="286">
        <f t="shared" si="5"/>
        <v>136</v>
      </c>
      <c r="W25" s="286"/>
      <c r="X25" s="286">
        <f t="shared" si="6"/>
        <v>612</v>
      </c>
      <c r="Y25" s="286">
        <f t="shared" si="7"/>
        <v>612</v>
      </c>
      <c r="Z25" s="286">
        <v>1</v>
      </c>
      <c r="AA25" s="286">
        <f t="shared" si="8"/>
        <v>612</v>
      </c>
      <c r="AB25" s="286">
        <f t="shared" si="9"/>
        <v>748</v>
      </c>
      <c r="AC25" s="286">
        <f t="shared" si="10"/>
        <v>510</v>
      </c>
      <c r="AD25" s="286">
        <f t="shared" si="11"/>
        <v>2012.5</v>
      </c>
      <c r="AE25" s="286">
        <f t="shared" si="12"/>
        <v>2018</v>
      </c>
      <c r="AF25" s="286">
        <f t="shared" si="13"/>
        <v>2019.5</v>
      </c>
      <c r="AG25" s="286">
        <f t="shared" si="14"/>
        <v>2017</v>
      </c>
      <c r="AH25" s="286">
        <f t="shared" si="15"/>
        <v>-8.3333333333333329E-2</v>
      </c>
      <c r="AJ25" s="11">
        <f t="shared" si="17"/>
        <v>79.333333333333329</v>
      </c>
      <c r="AL25" s="11">
        <f t="shared" si="18"/>
        <v>215.33333333333331</v>
      </c>
      <c r="AN25" s="11">
        <f t="shared" si="19"/>
        <v>0</v>
      </c>
      <c r="AP25" s="11">
        <f t="shared" si="20"/>
        <v>470.33333333333331</v>
      </c>
      <c r="AR25" s="11">
        <f t="shared" si="16"/>
        <v>470.33333333333331</v>
      </c>
    </row>
    <row r="26" spans="1:44">
      <c r="A26" s="282" t="s">
        <v>307</v>
      </c>
      <c r="B26" s="284" t="s">
        <v>303</v>
      </c>
      <c r="C26" s="309">
        <v>4</v>
      </c>
      <c r="D26" s="306" t="s">
        <v>306</v>
      </c>
      <c r="E26" s="282">
        <v>2013</v>
      </c>
      <c r="F26" s="284">
        <v>12</v>
      </c>
      <c r="G26" s="307">
        <v>0.33</v>
      </c>
      <c r="H26" s="286"/>
      <c r="I26" s="308" t="s">
        <v>86</v>
      </c>
      <c r="J26" s="284">
        <v>5</v>
      </c>
      <c r="K26" s="309">
        <f t="shared" si="0"/>
        <v>2018</v>
      </c>
      <c r="N26" s="285">
        <f>9990.93+8711.3+1183.08</f>
        <v>19885.309999999998</v>
      </c>
      <c r="O26" s="310"/>
      <c r="P26" s="286">
        <f t="shared" si="1"/>
        <v>13323.157699999998</v>
      </c>
      <c r="Q26" s="286">
        <f t="shared" si="2"/>
        <v>222.05262833333327</v>
      </c>
      <c r="R26" s="286">
        <f t="shared" ref="R26" si="49">IF(O26&gt;0,0,IF(OR(AD26&gt;AE26,AF26&lt;AG26),0,IF(AND(AF26&gt;=AG26,AF26&lt;=AE26),Q26*((AF26-AG26)*12),IF(AND(AG26&lt;=AD26,AE26&gt;=AD26),((AE26-AD26)*12)*Q26,IF(AF26&gt;AE26,12*Q26,0)))))</f>
        <v>2664.6315399999994</v>
      </c>
      <c r="S26" s="286"/>
      <c r="T26" s="286">
        <f t="shared" ref="T26" si="50">IF(S26&gt;0,S26,R26)</f>
        <v>2664.6315399999994</v>
      </c>
      <c r="U26" s="286">
        <v>1</v>
      </c>
      <c r="V26" s="286">
        <f t="shared" ref="V26" si="51">U26*SUM(R26:S26)</f>
        <v>2664.6315399999994</v>
      </c>
      <c r="W26" s="286"/>
      <c r="X26" s="286">
        <f t="shared" ref="X26" si="52">IF(AD26&gt;AE26,0,IF(AF26&lt;AG26,P26,IF(AND(AF26&gt;=AG26,AF26&lt;=AE26),(P26-T26),IF(AND(AG26&lt;=AD26,AE26&gt;=AD26),0,IF(AF26&gt;AE26,((AG26-AD26)*12)*Q26,0)))))</f>
        <v>8215.9472483331283</v>
      </c>
      <c r="Y26" s="286">
        <f t="shared" ref="Y26" si="53">X26*U26</f>
        <v>8215.9472483331283</v>
      </c>
      <c r="Z26" s="286">
        <v>1</v>
      </c>
      <c r="AA26" s="286">
        <f t="shared" ref="AA26" si="54">Y26*Z26</f>
        <v>8215.9472483331283</v>
      </c>
      <c r="AB26" s="286">
        <f t="shared" ref="AB26" si="55">IF(O26&gt;0,0,AA26+V26*Z26)*Z26</f>
        <v>10880.578788333129</v>
      </c>
      <c r="AC26" s="286">
        <f t="shared" ref="AC26" si="56">IF(O26&gt;0,(N26-AA26)/2,IF(AD26&gt;=AG26,(((N26*U26)*Z26)-AB26)/2,((((N26*U26)*Z26)-AA26)+(((N26*U26)*Z26)-AB26))/2))</f>
        <v>10337.04698166687</v>
      </c>
      <c r="AD26" s="286">
        <f t="shared" si="11"/>
        <v>2013.9166666666667</v>
      </c>
      <c r="AE26" s="286">
        <f t="shared" si="12"/>
        <v>2018</v>
      </c>
      <c r="AF26" s="286">
        <f t="shared" si="13"/>
        <v>2018.9166666666667</v>
      </c>
      <c r="AG26" s="286">
        <f t="shared" si="14"/>
        <v>2017</v>
      </c>
      <c r="AH26" s="286">
        <f t="shared" si="15"/>
        <v>-8.3333333333333329E-2</v>
      </c>
      <c r="AJ26" s="11">
        <f t="shared" si="17"/>
        <v>2187.3840999999998</v>
      </c>
      <c r="AL26" s="11">
        <f t="shared" si="18"/>
        <v>4852.0156399999996</v>
      </c>
      <c r="AN26" s="11">
        <f t="shared" si="19"/>
        <v>0</v>
      </c>
      <c r="AP26" s="11">
        <f t="shared" si="20"/>
        <v>9243.3549316668687</v>
      </c>
      <c r="AR26" s="11">
        <f t="shared" si="16"/>
        <v>9243.3549316668687</v>
      </c>
    </row>
    <row r="27" spans="1:44">
      <c r="A27" s="282">
        <v>117318</v>
      </c>
      <c r="B27" s="284" t="s">
        <v>318</v>
      </c>
      <c r="C27" s="309">
        <v>30</v>
      </c>
      <c r="D27" s="306" t="s">
        <v>319</v>
      </c>
      <c r="E27" s="282">
        <v>2014</v>
      </c>
      <c r="F27" s="284">
        <v>11</v>
      </c>
      <c r="G27" s="307">
        <v>0.2</v>
      </c>
      <c r="H27" s="286"/>
      <c r="I27" s="308" t="s">
        <v>86</v>
      </c>
      <c r="J27" s="284">
        <v>7</v>
      </c>
      <c r="K27" s="309">
        <f t="shared" si="0"/>
        <v>2021</v>
      </c>
      <c r="N27" s="285">
        <v>207432.32000000001</v>
      </c>
      <c r="O27" s="310"/>
      <c r="P27" s="286">
        <f t="shared" ref="P27" si="57">N27-N27*G27</f>
        <v>165945.856</v>
      </c>
      <c r="Q27" s="286">
        <f t="shared" ref="Q27" si="58">P27/J27/12</f>
        <v>1975.5459047619049</v>
      </c>
      <c r="R27" s="286">
        <f t="shared" ref="R27" si="59">IF(O27&gt;0,0,IF(OR(AD27&gt;AE27,AF27&lt;AG27),0,IF(AND(AF27&gt;=AG27,AF27&lt;=AE27),Q27*((AF27-AG27)*12),IF(AND(AG27&lt;=AD27,AE27&gt;=AD27),((AE27-AD27)*12)*Q27,IF(AF27&gt;AE27,12*Q27,0)))))</f>
        <v>23706.550857142858</v>
      </c>
      <c r="S27" s="286"/>
      <c r="T27" s="286">
        <f t="shared" ref="T27" si="60">IF(S27&gt;0,S27,R27)</f>
        <v>23706.550857142858</v>
      </c>
      <c r="U27" s="286">
        <v>1</v>
      </c>
      <c r="V27" s="286">
        <f t="shared" ref="V27" si="61">U27*SUM(R27:S27)</f>
        <v>23706.550857142858</v>
      </c>
      <c r="W27" s="286"/>
      <c r="X27" s="286">
        <f t="shared" ref="X27" si="62">IF(AD27&gt;AE27,0,IF(AF27&lt;AG27,P27,IF(AND(AF27&gt;=AG27,AF27&lt;=AE27),(P27-T27),IF(AND(AG27&lt;=AD27,AE27&gt;=AD27),0,IF(AF27&gt;AE27,((AG27-AD27)*12)*Q27,0)))))</f>
        <v>51364.193523811322</v>
      </c>
      <c r="Y27" s="286">
        <f t="shared" ref="Y27" si="63">X27*U27</f>
        <v>51364.193523811322</v>
      </c>
      <c r="Z27" s="286">
        <v>1</v>
      </c>
      <c r="AA27" s="286">
        <f t="shared" ref="AA27" si="64">Y27*Z27</f>
        <v>51364.193523811322</v>
      </c>
      <c r="AB27" s="286">
        <f t="shared" ref="AB27" si="65">IF(O27&gt;0,0,AA27+V27*Z27)*Z27</f>
        <v>75070.744380954187</v>
      </c>
      <c r="AC27" s="286">
        <f t="shared" ref="AC27" si="66">IF(O27&gt;0,(N27-AA27)/2,IF(AD27&gt;=AG27,(((N27*U27)*Z27)-AB27)/2,((((N27*U27)*Z27)-AA27)+(((N27*U27)*Z27)-AB27))/2))</f>
        <v>144214.85104761727</v>
      </c>
      <c r="AD27" s="286">
        <f t="shared" si="11"/>
        <v>2014.8333333333333</v>
      </c>
      <c r="AE27" s="286">
        <f t="shared" si="12"/>
        <v>2018</v>
      </c>
      <c r="AF27" s="286">
        <f t="shared" si="13"/>
        <v>2021.8333333333333</v>
      </c>
      <c r="AG27" s="286">
        <f t="shared" si="14"/>
        <v>2017</v>
      </c>
      <c r="AH27" s="286">
        <f t="shared" si="15"/>
        <v>-8.3333333333333329E-2</v>
      </c>
      <c r="AJ27" s="11">
        <f t="shared" si="17"/>
        <v>8583.4063448277229</v>
      </c>
      <c r="AL27" s="11">
        <f t="shared" si="18"/>
        <v>32289.957201970581</v>
      </c>
      <c r="AN27" s="11">
        <f t="shared" si="19"/>
        <v>0</v>
      </c>
      <c r="AP27" s="11">
        <f t="shared" si="20"/>
        <v>139923.1478752034</v>
      </c>
      <c r="AR27" s="11">
        <f t="shared" si="16"/>
        <v>139923.1478752034</v>
      </c>
    </row>
    <row r="28" spans="1:44">
      <c r="A28" s="282" t="s">
        <v>330</v>
      </c>
      <c r="B28" s="284" t="s">
        <v>331</v>
      </c>
      <c r="C28" s="309">
        <v>12</v>
      </c>
      <c r="D28" s="306" t="s">
        <v>332</v>
      </c>
      <c r="E28" s="282">
        <v>2015</v>
      </c>
      <c r="F28" s="284">
        <v>6</v>
      </c>
      <c r="G28" s="307">
        <v>0.2</v>
      </c>
      <c r="H28" s="286"/>
      <c r="I28" s="308" t="s">
        <v>86</v>
      </c>
      <c r="J28" s="284">
        <v>7</v>
      </c>
      <c r="K28" s="309">
        <f t="shared" si="0"/>
        <v>2022</v>
      </c>
      <c r="N28" s="285">
        <f>313311.01+882</f>
        <v>314193.01</v>
      </c>
      <c r="O28" s="310"/>
      <c r="P28" s="286">
        <f t="shared" ref="P28" si="67">N28-N28*G28</f>
        <v>251354.408</v>
      </c>
      <c r="Q28" s="286">
        <f t="shared" ref="Q28" si="68">P28/J28/12</f>
        <v>2992.3143809523808</v>
      </c>
      <c r="R28" s="286">
        <f t="shared" ref="R28" si="69">IF(O28&gt;0,0,IF(OR(AD28&gt;AE28,AF28&lt;AG28),0,IF(AND(AF28&gt;=AG28,AF28&lt;=AE28),Q28*((AF28-AG28)*12),IF(AND(AG28&lt;=AD28,AE28&gt;=AD28),((AE28-AD28)*12)*Q28,IF(AF28&gt;AE28,12*Q28,0)))))</f>
        <v>35907.77257142857</v>
      </c>
      <c r="S28" s="286"/>
      <c r="T28" s="286">
        <f t="shared" ref="T28" si="70">IF(S28&gt;0,S28,R28)</f>
        <v>35907.77257142857</v>
      </c>
      <c r="U28" s="286">
        <v>1</v>
      </c>
      <c r="V28" s="286">
        <f t="shared" ref="V28" si="71">U28*SUM(R28:S28)</f>
        <v>35907.77257142857</v>
      </c>
      <c r="W28" s="286"/>
      <c r="X28" s="286">
        <f t="shared" ref="X28" si="72">IF(AD28&gt;AE28,0,IF(AF28&lt;AG28,P28,IF(AND(AF28&gt;=AG28,AF28&lt;=AE28),(P28-T28),IF(AND(AG28&lt;=AD28,AE28&gt;=AD28),0,IF(AF28&gt;AE28,((AG28-AD28)*12)*Q28,0)))))</f>
        <v>56853.973238092512</v>
      </c>
      <c r="Y28" s="286">
        <f t="shared" ref="Y28" si="73">X28*U28</f>
        <v>56853.973238092512</v>
      </c>
      <c r="Z28" s="286">
        <v>1</v>
      </c>
      <c r="AA28" s="286">
        <f t="shared" ref="AA28" si="74">Y28*Z28</f>
        <v>56853.973238092512</v>
      </c>
      <c r="AB28" s="286">
        <f t="shared" ref="AB28" si="75">IF(O28&gt;0,0,AA28+V28*Z28)*Z28</f>
        <v>92761.74580952109</v>
      </c>
      <c r="AC28" s="286">
        <f t="shared" ref="AC28" si="76">IF(O28&gt;0,(N28-AA28)/2,IF(AD28&gt;=AG28,(((N28*U28)*Z28)-AB28)/2,((((N28*U28)*Z28)-AA28)+(((N28*U28)*Z28)-AB28))/2))</f>
        <v>239385.15047619323</v>
      </c>
      <c r="AD28" s="286">
        <f t="shared" si="11"/>
        <v>2015.4166666666667</v>
      </c>
      <c r="AE28" s="286">
        <f t="shared" si="12"/>
        <v>2018</v>
      </c>
      <c r="AF28" s="286">
        <f t="shared" si="13"/>
        <v>2022.4166666666667</v>
      </c>
      <c r="AG28" s="286">
        <f t="shared" si="14"/>
        <v>2017</v>
      </c>
      <c r="AH28" s="286">
        <f t="shared" si="15"/>
        <v>-8.3333333333333329E-2</v>
      </c>
      <c r="AJ28" s="11">
        <f t="shared" si="17"/>
        <v>11600.972676922916</v>
      </c>
      <c r="AL28" s="11">
        <f t="shared" si="18"/>
        <v>47508.745248351486</v>
      </c>
      <c r="AN28" s="11">
        <f t="shared" si="19"/>
        <v>0</v>
      </c>
      <c r="AP28" s="11">
        <f t="shared" si="20"/>
        <v>233584.66413773177</v>
      </c>
      <c r="AR28" s="11">
        <f t="shared" si="16"/>
        <v>233584.66413773177</v>
      </c>
    </row>
    <row r="29" spans="1:44">
      <c r="A29" s="282" t="s">
        <v>333</v>
      </c>
      <c r="B29" s="284" t="s">
        <v>331</v>
      </c>
      <c r="C29" s="309">
        <v>15</v>
      </c>
      <c r="D29" s="306" t="s">
        <v>334</v>
      </c>
      <c r="E29" s="282">
        <v>2015</v>
      </c>
      <c r="F29" s="284">
        <v>9</v>
      </c>
      <c r="G29" s="307">
        <v>0.33</v>
      </c>
      <c r="H29" s="286"/>
      <c r="I29" s="308" t="s">
        <v>86</v>
      </c>
      <c r="J29" s="284">
        <v>5</v>
      </c>
      <c r="K29" s="309">
        <f t="shared" si="0"/>
        <v>2020</v>
      </c>
      <c r="N29" s="285">
        <f>3255+500</f>
        <v>3755</v>
      </c>
      <c r="O29" s="310"/>
      <c r="P29" s="286">
        <f t="shared" ref="P29:P31" si="77">N29-N29*G29</f>
        <v>2515.85</v>
      </c>
      <c r="Q29" s="286">
        <f t="shared" ref="Q29:Q31" si="78">P29/J29/12</f>
        <v>41.930833333333332</v>
      </c>
      <c r="R29" s="286">
        <f t="shared" ref="R29:R31" si="79">IF(O29&gt;0,0,IF(OR(AD29&gt;AE29,AF29&lt;AG29),0,IF(AND(AF29&gt;=AG29,AF29&lt;=AE29),Q29*((AF29-AG29)*12),IF(AND(AG29&lt;=AD29,AE29&gt;=AD29),((AE29-AD29)*12)*Q29,IF(AF29&gt;AE29,12*Q29,0)))))</f>
        <v>503.16999999999996</v>
      </c>
      <c r="S29" s="286"/>
      <c r="T29" s="286">
        <f t="shared" ref="T29:T31" si="80">IF(S29&gt;0,S29,R29)</f>
        <v>503.16999999999996</v>
      </c>
      <c r="U29" s="286">
        <v>1</v>
      </c>
      <c r="V29" s="286">
        <f t="shared" ref="V29:V31" si="81">U29*SUM(R29:S29)</f>
        <v>503.16999999999996</v>
      </c>
      <c r="W29" s="286"/>
      <c r="X29" s="286">
        <f t="shared" ref="X29:X31" si="82">IF(AD29&gt;AE29,0,IF(AF29&lt;AG29,P29,IF(AND(AF29&gt;=AG29,AF29&lt;=AE29),(P29-T29),IF(AND(AG29&lt;=AD29,AE29&gt;=AD29),0,IF(AF29&gt;AE29,((AG29-AD29)*12)*Q29,0)))))</f>
        <v>670.89333333329523</v>
      </c>
      <c r="Y29" s="286">
        <f t="shared" ref="Y29:Y31" si="83">X29*U29</f>
        <v>670.89333333329523</v>
      </c>
      <c r="Z29" s="286">
        <v>1</v>
      </c>
      <c r="AA29" s="286">
        <f t="shared" ref="AA29:AA31" si="84">Y29*Z29</f>
        <v>670.89333333329523</v>
      </c>
      <c r="AB29" s="286">
        <f t="shared" ref="AB29:AB31" si="85">IF(O29&gt;0,0,AA29+V29*Z29)*Z29</f>
        <v>1174.0633333332953</v>
      </c>
      <c r="AC29" s="286">
        <f t="shared" ref="AC29:AC31" si="86">IF(O29&gt;0,(N29-AA29)/2,IF(AD29&gt;=AG29,(((N29*U29)*Z29)-AB29)/2,((((N29*U29)*Z29)-AA29)+(((N29*U29)*Z29)-AB29))/2))</f>
        <v>2832.5216666667047</v>
      </c>
      <c r="AD29" s="286">
        <f t="shared" si="11"/>
        <v>2015.6666666666667</v>
      </c>
      <c r="AE29" s="286">
        <f t="shared" si="12"/>
        <v>2018</v>
      </c>
      <c r="AF29" s="286">
        <f t="shared" si="13"/>
        <v>2020.6666666666667</v>
      </c>
      <c r="AG29" s="286">
        <f t="shared" si="14"/>
        <v>2017</v>
      </c>
      <c r="AH29" s="286">
        <f t="shared" si="15"/>
        <v>-8.3333333333333329E-2</v>
      </c>
      <c r="AJ29" s="11">
        <f t="shared" si="17"/>
        <v>337.94999999999305</v>
      </c>
      <c r="AL29" s="11">
        <f t="shared" si="18"/>
        <v>841.11999999999307</v>
      </c>
      <c r="AN29" s="11">
        <f t="shared" si="19"/>
        <v>0</v>
      </c>
      <c r="AP29" s="11">
        <f t="shared" si="20"/>
        <v>2663.546666666708</v>
      </c>
      <c r="AR29" s="11">
        <f t="shared" si="16"/>
        <v>2663.546666666708</v>
      </c>
    </row>
    <row r="30" spans="1:44">
      <c r="A30" s="282">
        <v>131544</v>
      </c>
      <c r="B30" s="284"/>
      <c r="C30" s="309"/>
      <c r="D30" s="306" t="s">
        <v>340</v>
      </c>
      <c r="E30" s="282">
        <v>2016</v>
      </c>
      <c r="F30" s="284">
        <v>3</v>
      </c>
      <c r="G30" s="307">
        <v>0</v>
      </c>
      <c r="H30" s="286"/>
      <c r="I30" s="308" t="s">
        <v>86</v>
      </c>
      <c r="J30" s="284">
        <v>1</v>
      </c>
      <c r="K30" s="309">
        <f t="shared" si="0"/>
        <v>2017</v>
      </c>
      <c r="N30" s="285">
        <f>5975.04/24*14</f>
        <v>3485.44</v>
      </c>
      <c r="O30" s="310"/>
      <c r="P30" s="286">
        <f t="shared" si="77"/>
        <v>3485.44</v>
      </c>
      <c r="Q30" s="286">
        <f t="shared" si="78"/>
        <v>290.45333333333332</v>
      </c>
      <c r="R30" s="286">
        <f t="shared" si="79"/>
        <v>580.90666666693085</v>
      </c>
      <c r="S30" s="286"/>
      <c r="T30" s="286">
        <f t="shared" si="80"/>
        <v>580.90666666693085</v>
      </c>
      <c r="U30" s="286">
        <v>1</v>
      </c>
      <c r="V30" s="286">
        <f t="shared" si="81"/>
        <v>580.90666666693085</v>
      </c>
      <c r="W30" s="286"/>
      <c r="X30" s="286">
        <f t="shared" si="82"/>
        <v>2904.5333333330691</v>
      </c>
      <c r="Y30" s="286">
        <f t="shared" si="83"/>
        <v>2904.5333333330691</v>
      </c>
      <c r="Z30" s="286">
        <v>1</v>
      </c>
      <c r="AA30" s="286">
        <f t="shared" si="84"/>
        <v>2904.5333333330691</v>
      </c>
      <c r="AB30" s="286">
        <f t="shared" si="85"/>
        <v>3485.44</v>
      </c>
      <c r="AC30" s="286">
        <f t="shared" si="86"/>
        <v>290.45333333346548</v>
      </c>
      <c r="AD30" s="286">
        <f t="shared" si="11"/>
        <v>2016.1666666666667</v>
      </c>
      <c r="AE30" s="286">
        <f t="shared" si="12"/>
        <v>2018</v>
      </c>
      <c r="AF30" s="286">
        <f t="shared" si="13"/>
        <v>2017.1666666666667</v>
      </c>
      <c r="AG30" s="286">
        <f t="shared" si="14"/>
        <v>2017</v>
      </c>
      <c r="AH30" s="286">
        <f t="shared" si="15"/>
        <v>-8.3333333333333329E-2</v>
      </c>
      <c r="AJ30" s="11">
        <f t="shared" si="17"/>
        <v>0</v>
      </c>
      <c r="AL30" s="11">
        <f t="shared" si="18"/>
        <v>580.90666666693085</v>
      </c>
      <c r="AN30" s="11">
        <f t="shared" si="19"/>
        <v>0</v>
      </c>
      <c r="AP30" s="11">
        <f t="shared" si="20"/>
        <v>0</v>
      </c>
      <c r="AR30" s="11">
        <f t="shared" si="16"/>
        <v>290.45333333346548</v>
      </c>
    </row>
    <row r="31" spans="1:44">
      <c r="A31" s="282">
        <v>165805</v>
      </c>
      <c r="B31" s="284"/>
      <c r="C31" s="309"/>
      <c r="D31" s="306" t="s">
        <v>348</v>
      </c>
      <c r="E31" s="282">
        <v>2016</v>
      </c>
      <c r="F31" s="284">
        <v>6</v>
      </c>
      <c r="G31" s="307">
        <v>0</v>
      </c>
      <c r="H31" s="286"/>
      <c r="I31" s="308" t="s">
        <v>86</v>
      </c>
      <c r="J31" s="284">
        <v>1</v>
      </c>
      <c r="K31" s="309">
        <f t="shared" si="0"/>
        <v>2017</v>
      </c>
      <c r="N31" s="285">
        <f>6255.46/30*20</f>
        <v>4170.3066666666664</v>
      </c>
      <c r="O31" s="310"/>
      <c r="P31" s="286">
        <f t="shared" si="77"/>
        <v>4170.3066666666664</v>
      </c>
      <c r="Q31" s="286">
        <f t="shared" si="78"/>
        <v>347.52555555555551</v>
      </c>
      <c r="R31" s="286">
        <f t="shared" si="79"/>
        <v>1737.6277777780936</v>
      </c>
      <c r="S31" s="286"/>
      <c r="T31" s="286">
        <f t="shared" si="80"/>
        <v>1737.6277777780936</v>
      </c>
      <c r="U31" s="286">
        <v>1</v>
      </c>
      <c r="V31" s="286">
        <f t="shared" si="81"/>
        <v>1737.6277777780936</v>
      </c>
      <c r="W31" s="286"/>
      <c r="X31" s="286">
        <f t="shared" si="82"/>
        <v>2432.6788888885731</v>
      </c>
      <c r="Y31" s="286">
        <f t="shared" si="83"/>
        <v>2432.6788888885731</v>
      </c>
      <c r="Z31" s="286">
        <v>1</v>
      </c>
      <c r="AA31" s="286">
        <f t="shared" si="84"/>
        <v>2432.6788888885731</v>
      </c>
      <c r="AB31" s="286">
        <f t="shared" si="85"/>
        <v>4170.3066666666664</v>
      </c>
      <c r="AC31" s="286">
        <f t="shared" si="86"/>
        <v>868.81388888904667</v>
      </c>
      <c r="AD31" s="286">
        <f t="shared" si="11"/>
        <v>2016.4166666666667</v>
      </c>
      <c r="AE31" s="286">
        <f t="shared" si="12"/>
        <v>2018</v>
      </c>
      <c r="AF31" s="286">
        <f t="shared" si="13"/>
        <v>2017.4166666666667</v>
      </c>
      <c r="AG31" s="286">
        <f t="shared" si="14"/>
        <v>2017</v>
      </c>
      <c r="AH31" s="286">
        <f t="shared" si="15"/>
        <v>-8.3333333333333329E-2</v>
      </c>
      <c r="AJ31" s="11">
        <f t="shared" si="17"/>
        <v>0</v>
      </c>
      <c r="AL31" s="11">
        <f t="shared" si="18"/>
        <v>1737.6277777780936</v>
      </c>
      <c r="AN31" s="11">
        <f t="shared" si="19"/>
        <v>0</v>
      </c>
      <c r="AP31" s="11">
        <f t="shared" si="20"/>
        <v>0</v>
      </c>
      <c r="AR31" s="11">
        <f t="shared" si="16"/>
        <v>868.81388888904667</v>
      </c>
    </row>
    <row r="32" spans="1:44">
      <c r="A32" s="282" t="s">
        <v>400</v>
      </c>
      <c r="B32" s="284"/>
      <c r="C32" s="309">
        <v>16</v>
      </c>
      <c r="D32" s="306" t="s">
        <v>399</v>
      </c>
      <c r="E32" s="282">
        <v>2016</v>
      </c>
      <c r="F32" s="284">
        <v>7</v>
      </c>
      <c r="G32" s="307">
        <v>0</v>
      </c>
      <c r="H32" s="286"/>
      <c r="I32" s="308" t="s">
        <v>86</v>
      </c>
      <c r="J32" s="284">
        <v>10</v>
      </c>
      <c r="K32" s="309">
        <f>E32+J32</f>
        <v>2026</v>
      </c>
      <c r="N32" s="285">
        <v>25528.62</v>
      </c>
      <c r="O32" s="310"/>
      <c r="P32" s="286">
        <f>N32-N32*G32</f>
        <v>25528.62</v>
      </c>
      <c r="Q32" s="286">
        <f>P32/J32/12</f>
        <v>212.73850000000002</v>
      </c>
      <c r="R32" s="286">
        <f t="shared" ref="R32" si="87">IF(O32&gt;0,0,IF(OR(AD32&gt;AE32,AF32&lt;AG32),0,IF(AND(AF32&gt;=AG32,AF32&lt;=AE32),Q32*((AF32-AG32)*12),IF(AND(AG32&lt;=AD32,AE32&gt;=AD32),((AE32-AD32)*12)*Q32,IF(AF32&gt;AE32,12*Q32,0)))))</f>
        <v>2552.8620000000001</v>
      </c>
      <c r="S32" s="286"/>
      <c r="T32" s="286">
        <f t="shared" ref="T32" si="88">IF(S32&gt;0,S32,R32)</f>
        <v>2552.8620000000001</v>
      </c>
      <c r="U32" s="286">
        <v>1</v>
      </c>
      <c r="V32" s="286">
        <f t="shared" ref="V32" si="89">U32*SUM(R32:S32)</f>
        <v>2552.8620000000001</v>
      </c>
      <c r="W32" s="286"/>
      <c r="X32" s="286">
        <f t="shared" ref="X32" si="90">IF(AD32&gt;AE32,0,IF(AF32&lt;AG32,P32,IF(AND(AF32&gt;=AG32,AF32&lt;=AE32),(P32-T32),IF(AND(AG32&lt;=AD32,AE32&gt;=AD32),0,IF(AF32&gt;AE32,((AG32-AD32)*12)*Q32,0)))))</f>
        <v>1276.431</v>
      </c>
      <c r="Y32" s="286">
        <f t="shared" ref="Y32" si="91">X32*U32</f>
        <v>1276.431</v>
      </c>
      <c r="Z32" s="286">
        <v>1</v>
      </c>
      <c r="AA32" s="286">
        <f t="shared" ref="AA32" si="92">Y32*Z32</f>
        <v>1276.431</v>
      </c>
      <c r="AB32" s="286">
        <f t="shared" ref="AB32" si="93">IF(O32&gt;0,0,AA32+V32*Z32)*Z32</f>
        <v>3829.2930000000001</v>
      </c>
      <c r="AC32" s="286">
        <f t="shared" ref="AC32" si="94">IF(O32&gt;0,(N32-AA32)/2,IF(AD32&gt;=AG32,(((N32*U32)*Z32)-AB32)/2,((((N32*U32)*Z32)-AA32)+(((N32*U32)*Z32)-AB32))/2))</f>
        <v>22975.757999999998</v>
      </c>
      <c r="AD32" s="286">
        <f>$E32+(($F32-1)/12)</f>
        <v>2016.5</v>
      </c>
      <c r="AE32" s="286">
        <f t="shared" si="12"/>
        <v>2018</v>
      </c>
      <c r="AF32" s="286">
        <f>$K32+(($F32-1)/12)</f>
        <v>2026.5</v>
      </c>
      <c r="AG32" s="286">
        <f t="shared" si="14"/>
        <v>2017</v>
      </c>
      <c r="AH32" s="286">
        <f>$L32+(($M32-1)/12)</f>
        <v>-8.3333333333333329E-2</v>
      </c>
      <c r="AJ32" s="11">
        <f t="shared" si="17"/>
        <v>0</v>
      </c>
      <c r="AL32" s="11">
        <f t="shared" si="18"/>
        <v>2552.8620000000001</v>
      </c>
      <c r="AN32" s="11">
        <f t="shared" si="19"/>
        <v>0</v>
      </c>
      <c r="AP32" s="11">
        <f t="shared" si="20"/>
        <v>0</v>
      </c>
      <c r="AR32" s="11">
        <f t="shared" si="16"/>
        <v>22975.757999999998</v>
      </c>
    </row>
    <row r="33" spans="1:44">
      <c r="A33" s="282">
        <v>171078</v>
      </c>
      <c r="B33" s="284"/>
      <c r="C33" s="309"/>
      <c r="D33" s="306" t="s">
        <v>355</v>
      </c>
      <c r="E33" s="282">
        <v>2016</v>
      </c>
      <c r="F33" s="284">
        <v>12</v>
      </c>
      <c r="G33" s="307">
        <v>0</v>
      </c>
      <c r="H33" s="286"/>
      <c r="I33" s="308" t="s">
        <v>86</v>
      </c>
      <c r="J33" s="284">
        <v>5</v>
      </c>
      <c r="K33" s="309">
        <f t="shared" ref="K33:K35" si="95">E33+J33</f>
        <v>2021</v>
      </c>
      <c r="N33" s="285">
        <f>22670.1/26*14</f>
        <v>12206.976923076922</v>
      </c>
      <c r="O33" s="310"/>
      <c r="P33" s="286">
        <f t="shared" ref="P33" si="96">N33-N33*G33</f>
        <v>12206.976923076922</v>
      </c>
      <c r="Q33" s="286">
        <f t="shared" ref="Q33" si="97">P33/J33/12</f>
        <v>203.44961538461538</v>
      </c>
      <c r="R33" s="286">
        <f t="shared" ref="R33" si="98">IF(O33&gt;0,0,IF(OR(AD33&gt;AE33,AF33&lt;AG33),0,IF(AND(AF33&gt;=AG33,AF33&lt;=AE33),Q33*((AF33-AG33)*12),IF(AND(AG33&lt;=AD33,AE33&gt;=AD33),((AE33-AD33)*12)*Q33,IF(AF33&gt;AE33,12*Q33,0)))))</f>
        <v>2441.3953846153845</v>
      </c>
      <c r="S33" s="286"/>
      <c r="T33" s="286">
        <f t="shared" ref="T33" si="99">IF(S33&gt;0,S33,R33)</f>
        <v>2441.3953846153845</v>
      </c>
      <c r="U33" s="286">
        <v>1</v>
      </c>
      <c r="V33" s="286">
        <f t="shared" ref="V33" si="100">U33*SUM(R33:S33)</f>
        <v>2441.3953846153845</v>
      </c>
      <c r="W33" s="286"/>
      <c r="X33" s="286">
        <f t="shared" ref="X33" si="101">IF(AD33&gt;AE33,0,IF(AF33&lt;AG33,P33,IF(AND(AF33&gt;=AG33,AF33&lt;=AE33),(P33-T33),IF(AND(AG33&lt;=AD33,AE33&gt;=AD33),0,IF(AF33&gt;AE33,((AG33-AD33)*12)*Q33,0)))))</f>
        <v>203.44961538443036</v>
      </c>
      <c r="Y33" s="286">
        <f t="shared" ref="Y33" si="102">X33*U33</f>
        <v>203.44961538443036</v>
      </c>
      <c r="Z33" s="286">
        <v>1</v>
      </c>
      <c r="AA33" s="286">
        <f t="shared" ref="AA33" si="103">Y33*Z33</f>
        <v>203.44961538443036</v>
      </c>
      <c r="AB33" s="286">
        <f t="shared" ref="AB33" si="104">IF(O33&gt;0,0,AA33+V33*Z33)*Z33</f>
        <v>2644.8449999998147</v>
      </c>
      <c r="AC33" s="286">
        <f t="shared" ref="AC33" si="105">IF(O33&gt;0,(N33-AA33)/2,IF(AD33&gt;=AG33,(((N33*U33)*Z33)-AB33)/2,((((N33*U33)*Z33)-AA33)+(((N33*U33)*Z33)-AB33))/2))</f>
        <v>10782.829615384799</v>
      </c>
      <c r="AD33" s="286">
        <f t="shared" si="11"/>
        <v>2016.9166666666667</v>
      </c>
      <c r="AE33" s="286">
        <f t="shared" si="12"/>
        <v>2018</v>
      </c>
      <c r="AF33" s="286">
        <f t="shared" si="13"/>
        <v>2021.9166666666667</v>
      </c>
      <c r="AG33" s="286">
        <f t="shared" si="14"/>
        <v>2017</v>
      </c>
      <c r="AH33" s="286">
        <f t="shared" si="15"/>
        <v>-8.3333333333333329E-2</v>
      </c>
      <c r="AJ33" s="11">
        <f t="shared" si="17"/>
        <v>0</v>
      </c>
      <c r="AL33" s="11">
        <f t="shared" si="18"/>
        <v>2441.3953846153845</v>
      </c>
      <c r="AN33" s="11">
        <f t="shared" si="19"/>
        <v>0</v>
      </c>
      <c r="AP33" s="11">
        <f t="shared" si="20"/>
        <v>0</v>
      </c>
      <c r="AR33" s="11">
        <f t="shared" si="16"/>
        <v>10782.829615384799</v>
      </c>
    </row>
    <row r="34" spans="1:44">
      <c r="A34" s="282">
        <v>184363</v>
      </c>
      <c r="B34" s="284" t="s">
        <v>331</v>
      </c>
      <c r="C34" s="309">
        <v>9</v>
      </c>
      <c r="D34" s="306" t="s">
        <v>395</v>
      </c>
      <c r="E34" s="282">
        <v>2017</v>
      </c>
      <c r="F34" s="284">
        <v>7</v>
      </c>
      <c r="G34" s="307">
        <v>0</v>
      </c>
      <c r="H34" s="286"/>
      <c r="I34" s="308" t="s">
        <v>86</v>
      </c>
      <c r="J34" s="284">
        <v>10</v>
      </c>
      <c r="K34" s="309">
        <f t="shared" si="95"/>
        <v>2027</v>
      </c>
      <c r="N34" s="285">
        <v>338304.94</v>
      </c>
      <c r="O34" s="310"/>
      <c r="P34" s="286">
        <f t="shared" ref="P34" si="106">N34-N34*G34</f>
        <v>338304.94</v>
      </c>
      <c r="Q34" s="286">
        <f t="shared" ref="Q34" si="107">P34/J34/12</f>
        <v>2819.2078333333334</v>
      </c>
      <c r="R34" s="286">
        <f t="shared" ref="R34" si="108">IF(O34&gt;0,0,IF(OR(AD34&gt;AE34,AF34&lt;AG34),0,IF(AND(AF34&gt;=AG34,AF34&lt;=AE34),Q34*((AF34-AG34)*12),IF(AND(AG34&lt;=AD34,AE34&gt;=AD34),((AE34-AD34)*12)*Q34,IF(AF34&gt;AE34,12*Q34,0)))))</f>
        <v>16915.246999999999</v>
      </c>
      <c r="S34" s="286"/>
      <c r="T34" s="286">
        <f t="shared" ref="T34" si="109">IF(S34&gt;0,S34,R34)</f>
        <v>16915.246999999999</v>
      </c>
      <c r="U34" s="286">
        <v>1</v>
      </c>
      <c r="V34" s="286">
        <f t="shared" ref="V34" si="110">U34*SUM(R34:S34)</f>
        <v>16915.246999999999</v>
      </c>
      <c r="W34" s="286"/>
      <c r="X34" s="286">
        <f t="shared" ref="X34" si="111">IF(AD34&gt;AE34,0,IF(AF34&lt;AG34,P34,IF(AND(AF34&gt;=AG34,AF34&lt;=AE34),(P34-T34),IF(AND(AG34&lt;=AD34,AE34&gt;=AD34),0,IF(AF34&gt;AE34,((AG34-AD34)*12)*Q34,0)))))</f>
        <v>0</v>
      </c>
      <c r="Y34" s="286">
        <f t="shared" ref="Y34" si="112">X34*U34</f>
        <v>0</v>
      </c>
      <c r="Z34" s="286">
        <v>1</v>
      </c>
      <c r="AA34" s="286">
        <f t="shared" ref="AA34" si="113">Y34*Z34</f>
        <v>0</v>
      </c>
      <c r="AB34" s="286">
        <f t="shared" ref="AB34" si="114">IF(O34&gt;0,0,AA34+V34*Z34)*Z34</f>
        <v>16915.246999999999</v>
      </c>
      <c r="AC34" s="286">
        <f t="shared" ref="AC34" si="115">IF(O34&gt;0,(N34-AA34)/2,IF(AD34&gt;=AG34,(((N34*U34)*Z34)-AB34)/2,((((N34*U34)*Z34)-AA34)+(((N34*U34)*Z34)-AB34))/2))</f>
        <v>160694.84650000001</v>
      </c>
      <c r="AD34" s="286">
        <f t="shared" si="11"/>
        <v>2017.5</v>
      </c>
      <c r="AE34" s="286">
        <f t="shared" si="12"/>
        <v>2018</v>
      </c>
      <c r="AF34" s="286">
        <f t="shared" si="13"/>
        <v>2027.5</v>
      </c>
      <c r="AG34" s="286">
        <f t="shared" si="14"/>
        <v>2017</v>
      </c>
      <c r="AH34" s="286">
        <f t="shared" si="15"/>
        <v>-8.3333333333333329E-2</v>
      </c>
      <c r="AJ34" s="11">
        <f t="shared" si="17"/>
        <v>0</v>
      </c>
      <c r="AL34" s="11">
        <f t="shared" si="18"/>
        <v>16915.246999999999</v>
      </c>
      <c r="AN34" s="11">
        <f t="shared" si="19"/>
        <v>0</v>
      </c>
      <c r="AP34" s="11">
        <f t="shared" si="20"/>
        <v>0</v>
      </c>
      <c r="AR34" s="11">
        <f t="shared" si="16"/>
        <v>160694.84650000001</v>
      </c>
    </row>
    <row r="35" spans="1:44">
      <c r="A35" s="282" t="s">
        <v>451</v>
      </c>
      <c r="B35" s="284" t="s">
        <v>318</v>
      </c>
      <c r="C35" s="309">
        <v>22</v>
      </c>
      <c r="D35" s="306" t="s">
        <v>396</v>
      </c>
      <c r="E35" s="282">
        <v>2017</v>
      </c>
      <c r="F35" s="284">
        <v>5</v>
      </c>
      <c r="G35" s="307">
        <v>0</v>
      </c>
      <c r="H35" s="286"/>
      <c r="I35" s="308" t="s">
        <v>86</v>
      </c>
      <c r="J35" s="284">
        <v>10</v>
      </c>
      <c r="K35" s="309">
        <f t="shared" si="95"/>
        <v>2027</v>
      </c>
      <c r="N35" s="285">
        <f>213770.91+1490.08+8033.71</f>
        <v>223294.69999999998</v>
      </c>
      <c r="O35" s="310"/>
      <c r="P35" s="286">
        <f t="shared" ref="P35" si="116">N35-N35*G35</f>
        <v>223294.69999999998</v>
      </c>
      <c r="Q35" s="286">
        <f t="shared" ref="Q35" si="117">P35/J35/12</f>
        <v>1860.7891666666665</v>
      </c>
      <c r="R35" s="286">
        <f t="shared" ref="R35" si="118">IF(O35&gt;0,0,IF(OR(AD35&gt;AE35,AF35&lt;AG35),0,IF(AND(AF35&gt;=AG35,AF35&lt;=AE35),Q35*((AF35-AG35)*12),IF(AND(AG35&lt;=AD35,AE35&gt;=AD35),((AE35-AD35)*12)*Q35,IF(AF35&gt;AE35,12*Q35,0)))))</f>
        <v>14886.313333335023</v>
      </c>
      <c r="S35" s="286"/>
      <c r="T35" s="286">
        <f t="shared" ref="T35" si="119">IF(S35&gt;0,S35,R35)</f>
        <v>14886.313333335023</v>
      </c>
      <c r="U35" s="286">
        <v>1</v>
      </c>
      <c r="V35" s="286">
        <f t="shared" ref="V35" si="120">U35*SUM(R35:S35)</f>
        <v>14886.313333335023</v>
      </c>
      <c r="W35" s="286"/>
      <c r="X35" s="286">
        <f t="shared" ref="X35" si="121">IF(AD35&gt;AE35,0,IF(AF35&lt;AG35,P35,IF(AND(AF35&gt;=AG35,AF35&lt;=AE35),(P35-T35),IF(AND(AG35&lt;=AD35,AE35&gt;=AD35),0,IF(AF35&gt;AE35,((AG35-AD35)*12)*Q35,0)))))</f>
        <v>0</v>
      </c>
      <c r="Y35" s="286">
        <f t="shared" ref="Y35" si="122">X35*U35</f>
        <v>0</v>
      </c>
      <c r="Z35" s="286">
        <v>1</v>
      </c>
      <c r="AA35" s="286">
        <f t="shared" ref="AA35" si="123">Y35*Z35</f>
        <v>0</v>
      </c>
      <c r="AB35" s="286">
        <f t="shared" ref="AB35" si="124">IF(O35&gt;0,0,AA35+V35*Z35)*Z35</f>
        <v>14886.313333335023</v>
      </c>
      <c r="AC35" s="286">
        <f t="shared" ref="AC35" si="125">IF(O35&gt;0,(N35-AA35)/2,IF(AD35&gt;=AG35,(((N35*U35)*Z35)-AB35)/2,((((N35*U35)*Z35)-AA35)+(((N35*U35)*Z35)-AB35))/2))</f>
        <v>104204.19333333249</v>
      </c>
      <c r="AD35" s="286">
        <f t="shared" si="11"/>
        <v>2017.3333333333333</v>
      </c>
      <c r="AE35" s="286">
        <f t="shared" si="12"/>
        <v>2018</v>
      </c>
      <c r="AF35" s="286">
        <f t="shared" si="13"/>
        <v>2027.3333333333333</v>
      </c>
      <c r="AG35" s="286">
        <f t="shared" si="14"/>
        <v>2017</v>
      </c>
      <c r="AH35" s="286">
        <f t="shared" si="15"/>
        <v>-8.3333333333333329E-2</v>
      </c>
      <c r="AJ35" s="11">
        <f t="shared" si="17"/>
        <v>0</v>
      </c>
      <c r="AL35" s="11">
        <f t="shared" si="18"/>
        <v>14886.313333335023</v>
      </c>
      <c r="AN35" s="11">
        <f t="shared" si="19"/>
        <v>0</v>
      </c>
      <c r="AP35" s="11">
        <f t="shared" si="20"/>
        <v>0</v>
      </c>
      <c r="AR35" s="11">
        <f t="shared" si="16"/>
        <v>104204.19333333249</v>
      </c>
    </row>
    <row r="36" spans="1:44">
      <c r="B36" s="284"/>
      <c r="C36" s="309"/>
      <c r="D36" s="306"/>
      <c r="G36" s="307"/>
      <c r="H36" s="286"/>
      <c r="I36" s="308"/>
      <c r="K36" s="309"/>
      <c r="O36" s="310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37" spans="1:44" s="311" customFormat="1">
      <c r="B37" s="291"/>
      <c r="C37" s="288"/>
      <c r="D37" s="283" t="s">
        <v>108</v>
      </c>
      <c r="E37" s="290"/>
      <c r="F37" s="312"/>
      <c r="G37" s="312"/>
      <c r="H37" s="313"/>
      <c r="I37" s="312"/>
      <c r="J37" s="291"/>
      <c r="K37" s="290"/>
      <c r="N37" s="314">
        <f>SUM(N11:N36)</f>
        <v>2404339.1635897444</v>
      </c>
      <c r="O37" s="315"/>
      <c r="P37" s="316">
        <f t="shared" ref="P37:AC37" si="126">SUM(P11:P36)</f>
        <v>2040652.6190897434</v>
      </c>
      <c r="Q37" s="316">
        <f t="shared" si="126"/>
        <v>22532.767440176402</v>
      </c>
      <c r="R37" s="316">
        <f t="shared" si="126"/>
        <v>111770.1478820238</v>
      </c>
      <c r="S37" s="316">
        <f t="shared" si="126"/>
        <v>0</v>
      </c>
      <c r="T37" s="316">
        <f t="shared" si="126"/>
        <v>111770.1478820238</v>
      </c>
      <c r="U37" s="316">
        <f t="shared" si="126"/>
        <v>25</v>
      </c>
      <c r="V37" s="316">
        <f t="shared" si="126"/>
        <v>111770.1478820238</v>
      </c>
      <c r="W37" s="316">
        <f t="shared" si="126"/>
        <v>0</v>
      </c>
      <c r="X37" s="316">
        <f t="shared" si="126"/>
        <v>1114366.7932301194</v>
      </c>
      <c r="Y37" s="316">
        <f t="shared" si="126"/>
        <v>1114366.7932301194</v>
      </c>
      <c r="Z37" s="316">
        <f t="shared" si="126"/>
        <v>25</v>
      </c>
      <c r="AA37" s="316">
        <f t="shared" si="126"/>
        <v>1114366.7932301194</v>
      </c>
      <c r="AB37" s="316">
        <f t="shared" si="126"/>
        <v>1226136.941112143</v>
      </c>
      <c r="AC37" s="316">
        <f t="shared" si="126"/>
        <v>953287.47641861229</v>
      </c>
      <c r="AD37" s="316"/>
      <c r="AE37" s="316"/>
      <c r="AF37" s="316"/>
      <c r="AG37" s="316"/>
      <c r="AH37" s="316"/>
      <c r="AJ37" s="10">
        <f>SUM(AJ11:AJ36)</f>
        <v>106563.10518841729</v>
      </c>
      <c r="AK37" s="10">
        <f>SUM(AK11:AK36)</f>
        <v>0</v>
      </c>
      <c r="AL37" s="10">
        <f>SUM(AL11:AL36)</f>
        <v>218333.2530704411</v>
      </c>
      <c r="AM37" s="10"/>
      <c r="AN37" s="10">
        <f>SUM(AN11:AN36)</f>
        <v>-204553.30219999998</v>
      </c>
      <c r="AO37" s="10">
        <f>SUM(AO11:AO36)</f>
        <v>0</v>
      </c>
      <c r="AP37" s="10">
        <f>SUM(AP11:AP36)</f>
        <v>429692.0552367972</v>
      </c>
      <c r="AQ37" s="10">
        <f>SUM(AQ11:AQ36)</f>
        <v>0</v>
      </c>
      <c r="AR37" s="10">
        <f>SUM(AR11:AR36)</f>
        <v>729544.83865773701</v>
      </c>
    </row>
    <row r="38" spans="1:44" s="311" customFormat="1">
      <c r="B38" s="291"/>
      <c r="C38" s="288"/>
      <c r="D38" s="313"/>
      <c r="E38" s="290"/>
      <c r="F38" s="312"/>
      <c r="G38" s="312"/>
      <c r="H38" s="313"/>
      <c r="I38" s="312"/>
      <c r="J38" s="291"/>
      <c r="K38" s="290"/>
      <c r="N38" s="288"/>
      <c r="O38" s="317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311" customFormat="1">
      <c r="B39" s="291"/>
      <c r="C39" s="288"/>
      <c r="D39" s="283" t="s">
        <v>12</v>
      </c>
      <c r="E39" s="290"/>
      <c r="F39" s="312"/>
      <c r="G39" s="312"/>
      <c r="H39" s="313"/>
      <c r="I39" s="312"/>
      <c r="J39" s="291"/>
      <c r="K39" s="290"/>
      <c r="N39" s="288"/>
      <c r="O39" s="317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J39" s="11">
        <f t="shared" ref="AJ39:AJ50" si="127">+IF((AF39-AG39)&gt;3,((N39-P39)/(AF39-AG39)),(N39-P39)/3)</f>
        <v>0</v>
      </c>
      <c r="AK39" s="11"/>
      <c r="AL39" s="11">
        <f t="shared" ref="AL39:AL50" si="128">+AJ39+R39</f>
        <v>0</v>
      </c>
      <c r="AM39" s="11"/>
      <c r="AN39" s="11">
        <f t="shared" ref="AN39:AN50" si="129">+IF(AF39&lt;AG39,-AC39,0)</f>
        <v>0</v>
      </c>
      <c r="AO39" s="11"/>
      <c r="AP39" s="11">
        <f t="shared" ref="AP39:AP50" si="130">+IF(AF39&gt;AG39,IF(AJ39&gt;0,IF(O39&gt;0,(N39-AA39)/2,IF(AD39&gt;=AG39,(((N39*U39)*Z39)-(AB39+AJ39))/2,((((N39*U39)*Z39)-AA39)+(((N39*U39)*Z39)-(AB39+AJ39)))/2)),0),0)</f>
        <v>0</v>
      </c>
      <c r="AQ39" s="11"/>
      <c r="AR39" s="11">
        <f t="shared" ref="AR39:AR50" si="131">+AC39+AN39+(IF(AP39&gt;0,(AP39-AC39),0))</f>
        <v>0</v>
      </c>
    </row>
    <row r="40" spans="1:44">
      <c r="B40" s="284" t="s">
        <v>109</v>
      </c>
      <c r="C40" s="282">
        <v>25</v>
      </c>
      <c r="D40" s="318" t="s">
        <v>110</v>
      </c>
      <c r="E40" s="282">
        <v>2004</v>
      </c>
      <c r="F40" s="284">
        <v>2</v>
      </c>
      <c r="G40" s="307">
        <v>0.2</v>
      </c>
      <c r="H40" s="286"/>
      <c r="I40" s="308" t="s">
        <v>86</v>
      </c>
      <c r="J40" s="284">
        <v>7</v>
      </c>
      <c r="K40" s="309">
        <f t="shared" ref="K40:K50" si="132">E40+J40</f>
        <v>2011</v>
      </c>
      <c r="N40" s="285">
        <f>(101641+39958+925)</f>
        <v>142524</v>
      </c>
      <c r="O40" s="310"/>
      <c r="P40" s="286">
        <f t="shared" ref="P40:P46" si="133">N40-N40*G40</f>
        <v>114019.2</v>
      </c>
      <c r="Q40" s="286">
        <f t="shared" ref="Q40:Q46" si="134">P40/J40/12</f>
        <v>1357.3714285714284</v>
      </c>
      <c r="R40" s="286">
        <f t="shared" ref="R40:R46" si="135">IF(O40&gt;0,0,IF(OR(AD40&gt;AE40,AF40&lt;AG40),0,IF(AND(AF40&gt;=AG40,AF40&lt;=AE40),Q40*((AF40-AG40)*12),IF(AND(AG40&lt;=AD40,AE40&gt;=AD40),((AE40-AD40)*12)*Q40,IF(AF40&gt;AE40,12*Q40,0)))))</f>
        <v>0</v>
      </c>
      <c r="S40" s="286"/>
      <c r="T40" s="286">
        <f t="shared" ref="T40:T46" si="136">IF(S40&gt;0,S40,R40)</f>
        <v>0</v>
      </c>
      <c r="U40" s="286">
        <v>1</v>
      </c>
      <c r="V40" s="286">
        <f t="shared" ref="V40:V46" si="137">U40*SUM(R40:S40)</f>
        <v>0</v>
      </c>
      <c r="W40" s="286"/>
      <c r="X40" s="286">
        <f t="shared" ref="X40:X46" si="138">IF(AD40&gt;AE40,0,IF(AF40&lt;AG40,P40,IF(AND(AF40&gt;=AG40,AF40&lt;=AE40),(P40-T40),IF(AND(AG40&lt;=AD40,AE40&gt;=AD40),0,IF(AF40&gt;AE40,((AG40-AD40)*12)*Q40,0)))))</f>
        <v>114019.2</v>
      </c>
      <c r="Y40" s="286">
        <f t="shared" ref="Y40:Y46" si="139">X40*U40</f>
        <v>114019.2</v>
      </c>
      <c r="Z40" s="286">
        <v>1</v>
      </c>
      <c r="AA40" s="286">
        <f t="shared" ref="AA40:AA46" si="140">Y40*Z40</f>
        <v>114019.2</v>
      </c>
      <c r="AB40" s="286">
        <f t="shared" ref="AB40:AB46" si="141">IF(O40&gt;0,0,AA40+V40*Z40)*Z40</f>
        <v>114019.2</v>
      </c>
      <c r="AC40" s="286">
        <f t="shared" ref="AC40:AC46" si="142">IF(O40&gt;0,(N40-AA40)/2,IF(AD40&gt;=AG40,(((N40*U40)*Z40)-AB40)/2,((((N40*U40)*Z40)-AA40)+(((N40*U40)*Z40)-AB40))/2))</f>
        <v>28504.800000000003</v>
      </c>
      <c r="AD40" s="286">
        <f t="shared" ref="AD40:AD50" si="143">$E40+(($F40-1)/12)</f>
        <v>2004.0833333333333</v>
      </c>
      <c r="AE40" s="286">
        <f t="shared" ref="AE40:AE49" si="144">($P$5+1)-($P$2/12)</f>
        <v>2018</v>
      </c>
      <c r="AF40" s="286">
        <f t="shared" ref="AF40:AF50" si="145">$K40+(($F40-1)/12)</f>
        <v>2011.0833333333333</v>
      </c>
      <c r="AG40" s="286">
        <f t="shared" ref="AG40:AG49" si="146">$P$4+($P$3/12)</f>
        <v>2017</v>
      </c>
      <c r="AH40" s="286">
        <f t="shared" ref="AH40:AH50" si="147">$L40+(($M40-1)/12)</f>
        <v>-8.3333333333333329E-2</v>
      </c>
      <c r="AJ40" s="11">
        <f t="shared" si="127"/>
        <v>9501.6</v>
      </c>
      <c r="AL40" s="11">
        <f t="shared" si="128"/>
        <v>9501.6</v>
      </c>
      <c r="AN40" s="11">
        <f t="shared" si="129"/>
        <v>-28504.800000000003</v>
      </c>
      <c r="AP40" s="11">
        <f t="shared" si="130"/>
        <v>0</v>
      </c>
      <c r="AR40" s="11">
        <f t="shared" si="131"/>
        <v>0</v>
      </c>
    </row>
    <row r="41" spans="1:44">
      <c r="B41" s="284" t="s">
        <v>111</v>
      </c>
      <c r="C41" s="282">
        <v>7</v>
      </c>
      <c r="D41" s="306" t="s">
        <v>112</v>
      </c>
      <c r="E41" s="282">
        <v>2006</v>
      </c>
      <c r="F41" s="284">
        <v>10</v>
      </c>
      <c r="G41" s="307">
        <v>0.2</v>
      </c>
      <c r="H41" s="286"/>
      <c r="I41" s="308" t="s">
        <v>86</v>
      </c>
      <c r="J41" s="284">
        <v>7</v>
      </c>
      <c r="K41" s="309">
        <f t="shared" si="132"/>
        <v>2013</v>
      </c>
      <c r="N41" s="285">
        <f>128063.15+54351.26</f>
        <v>182414.41</v>
      </c>
      <c r="O41" s="310"/>
      <c r="P41" s="286">
        <f t="shared" si="133"/>
        <v>145931.52799999999</v>
      </c>
      <c r="Q41" s="286">
        <f t="shared" si="134"/>
        <v>1737.2800952380951</v>
      </c>
      <c r="R41" s="286">
        <f t="shared" si="135"/>
        <v>0</v>
      </c>
      <c r="S41" s="286"/>
      <c r="T41" s="286">
        <f t="shared" si="136"/>
        <v>0</v>
      </c>
      <c r="U41" s="286">
        <v>1</v>
      </c>
      <c r="V41" s="286">
        <f t="shared" si="137"/>
        <v>0</v>
      </c>
      <c r="W41" s="286"/>
      <c r="X41" s="286">
        <f t="shared" si="138"/>
        <v>145931.52799999999</v>
      </c>
      <c r="Y41" s="286">
        <f t="shared" si="139"/>
        <v>145931.52799999999</v>
      </c>
      <c r="Z41" s="286">
        <v>1</v>
      </c>
      <c r="AA41" s="286">
        <f t="shared" si="140"/>
        <v>145931.52799999999</v>
      </c>
      <c r="AB41" s="286">
        <f t="shared" si="141"/>
        <v>145931.52799999999</v>
      </c>
      <c r="AC41" s="286">
        <f t="shared" si="142"/>
        <v>36482.882000000012</v>
      </c>
      <c r="AD41" s="286">
        <f t="shared" si="143"/>
        <v>2006.75</v>
      </c>
      <c r="AE41" s="286">
        <f t="shared" si="144"/>
        <v>2018</v>
      </c>
      <c r="AF41" s="286">
        <f t="shared" si="145"/>
        <v>2013.75</v>
      </c>
      <c r="AG41" s="286">
        <f t="shared" si="146"/>
        <v>2017</v>
      </c>
      <c r="AH41" s="286">
        <f t="shared" si="147"/>
        <v>-8.3333333333333329E-2</v>
      </c>
      <c r="AJ41" s="11">
        <f t="shared" si="127"/>
        <v>12160.960666666671</v>
      </c>
      <c r="AL41" s="11">
        <f t="shared" si="128"/>
        <v>12160.960666666671</v>
      </c>
      <c r="AN41" s="11">
        <f t="shared" si="129"/>
        <v>-36482.882000000012</v>
      </c>
      <c r="AP41" s="11">
        <f t="shared" si="130"/>
        <v>0</v>
      </c>
      <c r="AR41" s="11">
        <f t="shared" si="131"/>
        <v>0</v>
      </c>
    </row>
    <row r="42" spans="1:44">
      <c r="B42" s="284" t="s">
        <v>111</v>
      </c>
      <c r="C42" s="282">
        <v>24</v>
      </c>
      <c r="D42" s="306" t="s">
        <v>113</v>
      </c>
      <c r="E42" s="282">
        <v>2009</v>
      </c>
      <c r="F42" s="284">
        <v>4</v>
      </c>
      <c r="G42" s="307">
        <v>0.33</v>
      </c>
      <c r="H42" s="286"/>
      <c r="I42" s="308" t="s">
        <v>86</v>
      </c>
      <c r="J42" s="284">
        <v>5</v>
      </c>
      <c r="K42" s="309">
        <f t="shared" si="132"/>
        <v>2014</v>
      </c>
      <c r="N42" s="285">
        <v>159970.28</v>
      </c>
      <c r="O42" s="310"/>
      <c r="P42" s="286">
        <f t="shared" si="133"/>
        <v>107180.0876</v>
      </c>
      <c r="Q42" s="286">
        <f t="shared" si="134"/>
        <v>1786.3347933333334</v>
      </c>
      <c r="R42" s="286">
        <f t="shared" si="135"/>
        <v>0</v>
      </c>
      <c r="S42" s="286"/>
      <c r="T42" s="286">
        <f t="shared" si="136"/>
        <v>0</v>
      </c>
      <c r="U42" s="286">
        <v>1</v>
      </c>
      <c r="V42" s="286">
        <f t="shared" si="137"/>
        <v>0</v>
      </c>
      <c r="W42" s="286"/>
      <c r="X42" s="286">
        <f t="shared" si="138"/>
        <v>107180.0876</v>
      </c>
      <c r="Y42" s="286">
        <f t="shared" si="139"/>
        <v>107180.0876</v>
      </c>
      <c r="Z42" s="286">
        <v>1</v>
      </c>
      <c r="AA42" s="286">
        <f t="shared" si="140"/>
        <v>107180.0876</v>
      </c>
      <c r="AB42" s="286">
        <f t="shared" si="141"/>
        <v>107180.0876</v>
      </c>
      <c r="AC42" s="286">
        <f t="shared" si="142"/>
        <v>52790.1924</v>
      </c>
      <c r="AD42" s="286">
        <f t="shared" si="143"/>
        <v>2009.25</v>
      </c>
      <c r="AE42" s="286">
        <f t="shared" si="144"/>
        <v>2018</v>
      </c>
      <c r="AF42" s="286">
        <f t="shared" si="145"/>
        <v>2014.25</v>
      </c>
      <c r="AG42" s="286">
        <f t="shared" si="146"/>
        <v>2017</v>
      </c>
      <c r="AH42" s="286">
        <f t="shared" si="147"/>
        <v>-8.3333333333333329E-2</v>
      </c>
      <c r="AJ42" s="11">
        <f t="shared" si="127"/>
        <v>17596.730800000001</v>
      </c>
      <c r="AL42" s="11">
        <f t="shared" si="128"/>
        <v>17596.730800000001</v>
      </c>
      <c r="AN42" s="11">
        <f t="shared" si="129"/>
        <v>-52790.1924</v>
      </c>
      <c r="AP42" s="11">
        <f t="shared" si="130"/>
        <v>0</v>
      </c>
      <c r="AR42" s="11">
        <f t="shared" si="131"/>
        <v>0</v>
      </c>
    </row>
    <row r="43" spans="1:44">
      <c r="B43" s="284" t="s">
        <v>111</v>
      </c>
      <c r="C43" s="282">
        <v>37</v>
      </c>
      <c r="D43" s="306" t="s">
        <v>114</v>
      </c>
      <c r="E43" s="282">
        <v>2009</v>
      </c>
      <c r="F43" s="284">
        <v>12</v>
      </c>
      <c r="G43" s="307">
        <v>0.2</v>
      </c>
      <c r="H43" s="286"/>
      <c r="I43" s="308" t="s">
        <v>86</v>
      </c>
      <c r="J43" s="284">
        <v>7</v>
      </c>
      <c r="K43" s="309">
        <f t="shared" si="132"/>
        <v>2016</v>
      </c>
      <c r="N43" s="285">
        <f>127754.92+54317.87</f>
        <v>182072.79</v>
      </c>
      <c r="O43" s="310"/>
      <c r="P43" s="286">
        <f t="shared" si="133"/>
        <v>145658.23200000002</v>
      </c>
      <c r="Q43" s="286">
        <f t="shared" si="134"/>
        <v>1734.0265714285715</v>
      </c>
      <c r="R43" s="286">
        <f t="shared" si="135"/>
        <v>0</v>
      </c>
      <c r="S43" s="286"/>
      <c r="T43" s="286">
        <f t="shared" si="136"/>
        <v>0</v>
      </c>
      <c r="U43" s="286">
        <v>1</v>
      </c>
      <c r="V43" s="286">
        <f t="shared" si="137"/>
        <v>0</v>
      </c>
      <c r="W43" s="286"/>
      <c r="X43" s="286">
        <f t="shared" si="138"/>
        <v>145658.23200000002</v>
      </c>
      <c r="Y43" s="286">
        <f t="shared" si="139"/>
        <v>145658.23200000002</v>
      </c>
      <c r="Z43" s="286">
        <v>1</v>
      </c>
      <c r="AA43" s="286">
        <f t="shared" si="140"/>
        <v>145658.23200000002</v>
      </c>
      <c r="AB43" s="286">
        <f t="shared" si="141"/>
        <v>145658.23200000002</v>
      </c>
      <c r="AC43" s="286">
        <f t="shared" si="142"/>
        <v>36414.55799999999</v>
      </c>
      <c r="AD43" s="286">
        <f t="shared" si="143"/>
        <v>2009.9166666666667</v>
      </c>
      <c r="AE43" s="286">
        <f t="shared" si="144"/>
        <v>2018</v>
      </c>
      <c r="AF43" s="286">
        <f t="shared" si="145"/>
        <v>2016.9166666666667</v>
      </c>
      <c r="AG43" s="286">
        <f t="shared" si="146"/>
        <v>2017</v>
      </c>
      <c r="AH43" s="286">
        <f t="shared" si="147"/>
        <v>-8.3333333333333329E-2</v>
      </c>
      <c r="AJ43" s="11">
        <f t="shared" si="127"/>
        <v>12138.185999999996</v>
      </c>
      <c r="AL43" s="11">
        <f t="shared" si="128"/>
        <v>12138.185999999996</v>
      </c>
      <c r="AN43" s="11">
        <f t="shared" si="129"/>
        <v>-36414.55799999999</v>
      </c>
      <c r="AP43" s="11">
        <f t="shared" si="130"/>
        <v>0</v>
      </c>
      <c r="AR43" s="11">
        <f t="shared" si="131"/>
        <v>0</v>
      </c>
    </row>
    <row r="44" spans="1:44">
      <c r="B44" s="284" t="s">
        <v>2</v>
      </c>
      <c r="C44" s="309">
        <v>3</v>
      </c>
      <c r="D44" s="306" t="s">
        <v>115</v>
      </c>
      <c r="E44" s="282">
        <v>2010</v>
      </c>
      <c r="F44" s="284">
        <v>3</v>
      </c>
      <c r="G44" s="307">
        <v>0.2</v>
      </c>
      <c r="H44" s="286"/>
      <c r="I44" s="308" t="s">
        <v>86</v>
      </c>
      <c r="J44" s="284">
        <v>7</v>
      </c>
      <c r="K44" s="309">
        <f t="shared" si="132"/>
        <v>2017</v>
      </c>
      <c r="N44" s="285">
        <f>776.09*2+776.09</f>
        <v>2328.27</v>
      </c>
      <c r="O44" s="310"/>
      <c r="P44" s="286">
        <f t="shared" si="133"/>
        <v>1862.616</v>
      </c>
      <c r="Q44" s="286">
        <f t="shared" si="134"/>
        <v>22.174000000000003</v>
      </c>
      <c r="R44" s="286">
        <f t="shared" si="135"/>
        <v>44.348000000020171</v>
      </c>
      <c r="S44" s="286"/>
      <c r="T44" s="286">
        <f t="shared" si="136"/>
        <v>44.348000000020171</v>
      </c>
      <c r="U44" s="286">
        <v>1</v>
      </c>
      <c r="V44" s="286">
        <f t="shared" si="137"/>
        <v>44.348000000020171</v>
      </c>
      <c r="W44" s="286"/>
      <c r="X44" s="286">
        <f t="shared" si="138"/>
        <v>1818.2679999999798</v>
      </c>
      <c r="Y44" s="286">
        <f t="shared" si="139"/>
        <v>1818.2679999999798</v>
      </c>
      <c r="Z44" s="286">
        <v>1</v>
      </c>
      <c r="AA44" s="286">
        <f t="shared" si="140"/>
        <v>1818.2679999999798</v>
      </c>
      <c r="AB44" s="286">
        <f t="shared" si="141"/>
        <v>1862.616</v>
      </c>
      <c r="AC44" s="286">
        <f t="shared" si="142"/>
        <v>487.82800000001009</v>
      </c>
      <c r="AD44" s="286">
        <f t="shared" si="143"/>
        <v>2010.1666666666667</v>
      </c>
      <c r="AE44" s="286">
        <f t="shared" si="144"/>
        <v>2018</v>
      </c>
      <c r="AF44" s="286">
        <f t="shared" si="145"/>
        <v>2017.1666666666667</v>
      </c>
      <c r="AG44" s="286">
        <f t="shared" si="146"/>
        <v>2017</v>
      </c>
      <c r="AH44" s="286">
        <f t="shared" si="147"/>
        <v>-8.3333333333333329E-2</v>
      </c>
      <c r="AJ44" s="11">
        <f t="shared" si="127"/>
        <v>155.21799999999999</v>
      </c>
      <c r="AL44" s="11">
        <f t="shared" si="128"/>
        <v>199.56600000002015</v>
      </c>
      <c r="AN44" s="11">
        <f t="shared" si="129"/>
        <v>0</v>
      </c>
      <c r="AP44" s="11">
        <f t="shared" si="130"/>
        <v>410.21900000001006</v>
      </c>
      <c r="AR44" s="11">
        <f t="shared" si="131"/>
        <v>410.21900000001006</v>
      </c>
    </row>
    <row r="45" spans="1:44">
      <c r="B45" s="284" t="s">
        <v>2</v>
      </c>
      <c r="C45" s="309">
        <v>25</v>
      </c>
      <c r="D45" s="306" t="s">
        <v>116</v>
      </c>
      <c r="E45" s="282">
        <v>2010</v>
      </c>
      <c r="F45" s="284">
        <v>6</v>
      </c>
      <c r="G45" s="307">
        <v>0</v>
      </c>
      <c r="H45" s="286"/>
      <c r="I45" s="308" t="s">
        <v>86</v>
      </c>
      <c r="J45" s="284">
        <v>3</v>
      </c>
      <c r="K45" s="309">
        <f t="shared" si="132"/>
        <v>2013</v>
      </c>
      <c r="N45" s="285">
        <f>5125.25</f>
        <v>5125.25</v>
      </c>
      <c r="O45" s="310"/>
      <c r="P45" s="286">
        <f t="shared" si="133"/>
        <v>5125.25</v>
      </c>
      <c r="Q45" s="286">
        <f t="shared" si="134"/>
        <v>142.36805555555557</v>
      </c>
      <c r="R45" s="286">
        <f t="shared" si="135"/>
        <v>0</v>
      </c>
      <c r="S45" s="286"/>
      <c r="T45" s="286">
        <f t="shared" si="136"/>
        <v>0</v>
      </c>
      <c r="U45" s="286">
        <v>1</v>
      </c>
      <c r="V45" s="286">
        <f t="shared" si="137"/>
        <v>0</v>
      </c>
      <c r="W45" s="286"/>
      <c r="X45" s="286">
        <f t="shared" si="138"/>
        <v>5125.25</v>
      </c>
      <c r="Y45" s="286">
        <f t="shared" si="139"/>
        <v>5125.25</v>
      </c>
      <c r="Z45" s="286">
        <v>1</v>
      </c>
      <c r="AA45" s="286">
        <f t="shared" si="140"/>
        <v>5125.25</v>
      </c>
      <c r="AB45" s="286">
        <f t="shared" si="141"/>
        <v>5125.25</v>
      </c>
      <c r="AC45" s="286">
        <f t="shared" si="142"/>
        <v>0</v>
      </c>
      <c r="AD45" s="286">
        <f t="shared" si="143"/>
        <v>2010.4166666666667</v>
      </c>
      <c r="AE45" s="286">
        <f t="shared" si="144"/>
        <v>2018</v>
      </c>
      <c r="AF45" s="286">
        <f t="shared" si="145"/>
        <v>2013.4166666666667</v>
      </c>
      <c r="AG45" s="286">
        <f t="shared" si="146"/>
        <v>2017</v>
      </c>
      <c r="AH45" s="286">
        <f t="shared" si="147"/>
        <v>-8.3333333333333329E-2</v>
      </c>
      <c r="AJ45" s="11">
        <f t="shared" si="127"/>
        <v>0</v>
      </c>
      <c r="AL45" s="11">
        <f t="shared" si="128"/>
        <v>0</v>
      </c>
      <c r="AN45" s="11">
        <f t="shared" si="129"/>
        <v>0</v>
      </c>
      <c r="AP45" s="11">
        <f t="shared" si="130"/>
        <v>0</v>
      </c>
      <c r="AR45" s="11">
        <f t="shared" si="131"/>
        <v>0</v>
      </c>
    </row>
    <row r="46" spans="1:44">
      <c r="A46" s="282">
        <v>95491</v>
      </c>
      <c r="B46" s="284"/>
      <c r="C46" s="309">
        <v>37</v>
      </c>
      <c r="D46" s="306" t="s">
        <v>225</v>
      </c>
      <c r="E46" s="282">
        <v>2012</v>
      </c>
      <c r="F46" s="284">
        <v>7</v>
      </c>
      <c r="G46" s="307">
        <v>0.2</v>
      </c>
      <c r="H46" s="286"/>
      <c r="I46" s="308" t="s">
        <v>86</v>
      </c>
      <c r="J46" s="284">
        <v>7</v>
      </c>
      <c r="K46" s="309">
        <f t="shared" si="132"/>
        <v>2019</v>
      </c>
      <c r="N46" s="285">
        <f>595</f>
        <v>595</v>
      </c>
      <c r="O46" s="310"/>
      <c r="P46" s="286">
        <f t="shared" si="133"/>
        <v>476</v>
      </c>
      <c r="Q46" s="286">
        <f t="shared" si="134"/>
        <v>5.666666666666667</v>
      </c>
      <c r="R46" s="286">
        <f t="shared" si="135"/>
        <v>68</v>
      </c>
      <c r="S46" s="286"/>
      <c r="T46" s="286">
        <f t="shared" si="136"/>
        <v>68</v>
      </c>
      <c r="U46" s="286">
        <v>1</v>
      </c>
      <c r="V46" s="286">
        <f t="shared" si="137"/>
        <v>68</v>
      </c>
      <c r="W46" s="286"/>
      <c r="X46" s="286">
        <f t="shared" si="138"/>
        <v>306</v>
      </c>
      <c r="Y46" s="286">
        <f t="shared" si="139"/>
        <v>306</v>
      </c>
      <c r="Z46" s="286">
        <v>1</v>
      </c>
      <c r="AA46" s="286">
        <f t="shared" si="140"/>
        <v>306</v>
      </c>
      <c r="AB46" s="286">
        <f t="shared" si="141"/>
        <v>374</v>
      </c>
      <c r="AC46" s="286">
        <f t="shared" si="142"/>
        <v>255</v>
      </c>
      <c r="AD46" s="286">
        <f t="shared" si="143"/>
        <v>2012.5</v>
      </c>
      <c r="AE46" s="286">
        <f t="shared" si="144"/>
        <v>2018</v>
      </c>
      <c r="AF46" s="286">
        <f t="shared" si="145"/>
        <v>2019.5</v>
      </c>
      <c r="AG46" s="286">
        <f t="shared" si="146"/>
        <v>2017</v>
      </c>
      <c r="AH46" s="286">
        <f t="shared" si="147"/>
        <v>-8.3333333333333329E-2</v>
      </c>
      <c r="AJ46" s="11">
        <f t="shared" si="127"/>
        <v>39.666666666666664</v>
      </c>
      <c r="AL46" s="11">
        <f t="shared" si="128"/>
        <v>107.66666666666666</v>
      </c>
      <c r="AN46" s="11">
        <f t="shared" si="129"/>
        <v>0</v>
      </c>
      <c r="AP46" s="11">
        <f t="shared" si="130"/>
        <v>235.16666666666666</v>
      </c>
      <c r="AR46" s="11">
        <f t="shared" si="131"/>
        <v>235.16666666666666</v>
      </c>
    </row>
    <row r="47" spans="1:44">
      <c r="A47" s="282">
        <v>131501</v>
      </c>
      <c r="B47" s="284"/>
      <c r="C47" s="309">
        <v>7</v>
      </c>
      <c r="D47" s="306" t="s">
        <v>337</v>
      </c>
      <c r="E47" s="282">
        <v>2016</v>
      </c>
      <c r="F47" s="284">
        <v>1</v>
      </c>
      <c r="G47" s="307">
        <v>0</v>
      </c>
      <c r="H47" s="286"/>
      <c r="I47" s="308" t="s">
        <v>86</v>
      </c>
      <c r="J47" s="284">
        <v>3</v>
      </c>
      <c r="K47" s="309">
        <f t="shared" si="132"/>
        <v>2019</v>
      </c>
      <c r="N47" s="285">
        <v>6050.04</v>
      </c>
      <c r="O47" s="310"/>
      <c r="P47" s="286">
        <f t="shared" ref="P47" si="148">N47-N47*G47</f>
        <v>6050.04</v>
      </c>
      <c r="Q47" s="286">
        <f t="shared" ref="Q47" si="149">P47/J47/12</f>
        <v>168.05666666666667</v>
      </c>
      <c r="R47" s="286">
        <f t="shared" ref="R47" si="150">IF(O47&gt;0,0,IF(OR(AD47&gt;AE47,AF47&lt;AG47),0,IF(AND(AF47&gt;=AG47,AF47&lt;=AE47),Q47*((AF47-AG47)*12),IF(AND(AG47&lt;=AD47,AE47&gt;=AD47),((AE47-AD47)*12)*Q47,IF(AF47&gt;AE47,12*Q47,0)))))</f>
        <v>2016.68</v>
      </c>
      <c r="S47" s="286"/>
      <c r="T47" s="286">
        <f t="shared" ref="T47" si="151">IF(S47&gt;0,S47,R47)</f>
        <v>2016.68</v>
      </c>
      <c r="U47" s="286">
        <v>1</v>
      </c>
      <c r="V47" s="286">
        <f t="shared" ref="V47" si="152">U47*SUM(R47:S47)</f>
        <v>2016.68</v>
      </c>
      <c r="W47" s="286"/>
      <c r="X47" s="286">
        <f t="shared" ref="X47" si="153">IF(AD47&gt;AE47,0,IF(AF47&lt;AG47,P47,IF(AND(AF47&gt;=AG47,AF47&lt;=AE47),(P47-T47),IF(AND(AG47&lt;=AD47,AE47&gt;=AD47),0,IF(AF47&gt;AE47,((AG47-AD47)*12)*Q47,0)))))</f>
        <v>2016.68</v>
      </c>
      <c r="Y47" s="286">
        <f t="shared" ref="Y47" si="154">X47*U47</f>
        <v>2016.68</v>
      </c>
      <c r="Z47" s="286">
        <v>1</v>
      </c>
      <c r="AA47" s="286">
        <f t="shared" ref="AA47" si="155">Y47*Z47</f>
        <v>2016.68</v>
      </c>
      <c r="AB47" s="286">
        <f t="shared" ref="AB47" si="156">IF(O47&gt;0,0,AA47+V47*Z47)*Z47</f>
        <v>4033.36</v>
      </c>
      <c r="AC47" s="286">
        <f t="shared" ref="AC47" si="157">IF(O47&gt;0,(N47-AA47)/2,IF(AD47&gt;=AG47,(((N47*U47)*Z47)-AB47)/2,((((N47*U47)*Z47)-AA47)+(((N47*U47)*Z47)-AB47))/2))</f>
        <v>3025.0199999999995</v>
      </c>
      <c r="AD47" s="286">
        <f t="shared" si="143"/>
        <v>2016</v>
      </c>
      <c r="AE47" s="286">
        <f t="shared" si="144"/>
        <v>2018</v>
      </c>
      <c r="AF47" s="286">
        <f t="shared" si="145"/>
        <v>2019</v>
      </c>
      <c r="AG47" s="286">
        <f t="shared" si="146"/>
        <v>2017</v>
      </c>
      <c r="AH47" s="286">
        <f t="shared" si="147"/>
        <v>-8.3333333333333329E-2</v>
      </c>
      <c r="AJ47" s="11">
        <f t="shared" si="127"/>
        <v>0</v>
      </c>
      <c r="AL47" s="11">
        <f t="shared" si="128"/>
        <v>2016.68</v>
      </c>
      <c r="AN47" s="11">
        <f t="shared" si="129"/>
        <v>0</v>
      </c>
      <c r="AP47" s="11">
        <f t="shared" si="130"/>
        <v>0</v>
      </c>
      <c r="AR47" s="11">
        <f t="shared" si="131"/>
        <v>3025.0199999999995</v>
      </c>
    </row>
    <row r="48" spans="1:44">
      <c r="A48" s="282">
        <v>131544</v>
      </c>
      <c r="B48" s="284"/>
      <c r="C48" s="309"/>
      <c r="D48" s="306" t="s">
        <v>338</v>
      </c>
      <c r="E48" s="282">
        <v>2016</v>
      </c>
      <c r="F48" s="284">
        <v>3</v>
      </c>
      <c r="G48" s="307">
        <v>0</v>
      </c>
      <c r="H48" s="286"/>
      <c r="I48" s="308" t="s">
        <v>86</v>
      </c>
      <c r="J48" s="284">
        <v>1</v>
      </c>
      <c r="K48" s="309">
        <f t="shared" si="132"/>
        <v>2017</v>
      </c>
      <c r="N48" s="285">
        <f>5975.04/24*4</f>
        <v>995.84</v>
      </c>
      <c r="O48" s="310"/>
      <c r="P48" s="286">
        <f t="shared" ref="P48:P50" si="158">N48-N48*G48</f>
        <v>995.84</v>
      </c>
      <c r="Q48" s="286">
        <f t="shared" ref="Q48:Q50" si="159">P48/J48/12</f>
        <v>82.986666666666665</v>
      </c>
      <c r="R48" s="286">
        <f t="shared" ref="R48:R50" si="160">IF(O48&gt;0,0,IF(OR(AD48&gt;AE48,AF48&lt;AG48),0,IF(AND(AF48&gt;=AG48,AF48&lt;=AE48),Q48*((AF48-AG48)*12),IF(AND(AG48&lt;=AD48,AE48&gt;=AD48),((AE48-AD48)*12)*Q48,IF(AF48&gt;AE48,12*Q48,0)))))</f>
        <v>165.97333333340882</v>
      </c>
      <c r="S48" s="286"/>
      <c r="T48" s="286">
        <f t="shared" ref="T48:T50" si="161">IF(S48&gt;0,S48,R48)</f>
        <v>165.97333333340882</v>
      </c>
      <c r="U48" s="286">
        <v>1</v>
      </c>
      <c r="V48" s="286">
        <f t="shared" ref="V48:V50" si="162">U48*SUM(R48:S48)</f>
        <v>165.97333333340882</v>
      </c>
      <c r="W48" s="286"/>
      <c r="X48" s="286">
        <f t="shared" ref="X48:X50" si="163">IF(AD48&gt;AE48,0,IF(AF48&lt;AG48,P48,IF(AND(AF48&gt;=AG48,AF48&lt;=AE48),(P48-T48),IF(AND(AG48&lt;=AD48,AE48&gt;=AD48),0,IF(AF48&gt;AE48,((AG48-AD48)*12)*Q48,0)))))</f>
        <v>829.86666666659119</v>
      </c>
      <c r="Y48" s="286">
        <f t="shared" ref="Y48:Y50" si="164">X48*U48</f>
        <v>829.86666666659119</v>
      </c>
      <c r="Z48" s="286">
        <v>1</v>
      </c>
      <c r="AA48" s="286">
        <f t="shared" ref="AA48:AA50" si="165">Y48*Z48</f>
        <v>829.86666666659119</v>
      </c>
      <c r="AB48" s="286">
        <f t="shared" ref="AB48:AB50" si="166">IF(O48&gt;0,0,AA48+V48*Z48)*Z48</f>
        <v>995.84</v>
      </c>
      <c r="AC48" s="286">
        <f t="shared" ref="AC48:AC50" si="167">IF(O48&gt;0,(N48-AA48)/2,IF(AD48&gt;=AG48,(((N48*U48)*Z48)-AB48)/2,((((N48*U48)*Z48)-AA48)+(((N48*U48)*Z48)-AB48))/2))</f>
        <v>82.986666666704423</v>
      </c>
      <c r="AD48" s="286">
        <f t="shared" si="143"/>
        <v>2016.1666666666667</v>
      </c>
      <c r="AE48" s="286">
        <f t="shared" si="144"/>
        <v>2018</v>
      </c>
      <c r="AF48" s="286">
        <f t="shared" si="145"/>
        <v>2017.1666666666667</v>
      </c>
      <c r="AG48" s="286">
        <f t="shared" si="146"/>
        <v>2017</v>
      </c>
      <c r="AH48" s="286">
        <f t="shared" si="147"/>
        <v>-8.3333333333333329E-2</v>
      </c>
      <c r="AJ48" s="11">
        <f t="shared" si="127"/>
        <v>0</v>
      </c>
      <c r="AL48" s="11">
        <f t="shared" si="128"/>
        <v>165.97333333340882</v>
      </c>
      <c r="AN48" s="11">
        <f t="shared" si="129"/>
        <v>0</v>
      </c>
      <c r="AP48" s="11">
        <f t="shared" si="130"/>
        <v>0</v>
      </c>
      <c r="AR48" s="11">
        <f t="shared" si="131"/>
        <v>82.986666666704423</v>
      </c>
    </row>
    <row r="49" spans="1:44">
      <c r="A49" s="282">
        <v>165805</v>
      </c>
      <c r="B49" s="284"/>
      <c r="C49" s="309"/>
      <c r="D49" s="306" t="s">
        <v>347</v>
      </c>
      <c r="E49" s="282">
        <v>2016</v>
      </c>
      <c r="F49" s="284">
        <v>6</v>
      </c>
      <c r="G49" s="307">
        <v>0</v>
      </c>
      <c r="H49" s="286"/>
      <c r="I49" s="308" t="s">
        <v>86</v>
      </c>
      <c r="J49" s="284">
        <v>1</v>
      </c>
      <c r="K49" s="309">
        <f t="shared" si="132"/>
        <v>2017</v>
      </c>
      <c r="N49" s="285">
        <f>6255.46/30*4</f>
        <v>834.06133333333332</v>
      </c>
      <c r="O49" s="310"/>
      <c r="P49" s="286">
        <f t="shared" si="158"/>
        <v>834.06133333333332</v>
      </c>
      <c r="Q49" s="286">
        <f t="shared" si="159"/>
        <v>69.505111111111106</v>
      </c>
      <c r="R49" s="286">
        <f t="shared" si="160"/>
        <v>347.52555555561872</v>
      </c>
      <c r="S49" s="286"/>
      <c r="T49" s="286">
        <f t="shared" si="161"/>
        <v>347.52555555561872</v>
      </c>
      <c r="U49" s="286">
        <v>1</v>
      </c>
      <c r="V49" s="286">
        <f t="shared" si="162"/>
        <v>347.52555555561872</v>
      </c>
      <c r="W49" s="286"/>
      <c r="X49" s="286">
        <f t="shared" si="163"/>
        <v>486.5357777777146</v>
      </c>
      <c r="Y49" s="286">
        <f t="shared" si="164"/>
        <v>486.5357777777146</v>
      </c>
      <c r="Z49" s="286">
        <v>1</v>
      </c>
      <c r="AA49" s="286">
        <f t="shared" si="165"/>
        <v>486.5357777777146</v>
      </c>
      <c r="AB49" s="286">
        <f t="shared" si="166"/>
        <v>834.06133333333332</v>
      </c>
      <c r="AC49" s="286">
        <f t="shared" si="167"/>
        <v>173.76277777780936</v>
      </c>
      <c r="AD49" s="286">
        <f t="shared" si="143"/>
        <v>2016.4166666666667</v>
      </c>
      <c r="AE49" s="286">
        <f t="shared" si="144"/>
        <v>2018</v>
      </c>
      <c r="AF49" s="286">
        <f t="shared" si="145"/>
        <v>2017.4166666666667</v>
      </c>
      <c r="AG49" s="286">
        <f t="shared" si="146"/>
        <v>2017</v>
      </c>
      <c r="AH49" s="286">
        <f t="shared" si="147"/>
        <v>-8.3333333333333329E-2</v>
      </c>
      <c r="AJ49" s="11">
        <f t="shared" si="127"/>
        <v>0</v>
      </c>
      <c r="AL49" s="11">
        <f t="shared" si="128"/>
        <v>347.52555555561872</v>
      </c>
      <c r="AN49" s="11">
        <f t="shared" si="129"/>
        <v>0</v>
      </c>
      <c r="AP49" s="11">
        <f t="shared" si="130"/>
        <v>0</v>
      </c>
      <c r="AR49" s="11">
        <f t="shared" si="131"/>
        <v>173.76277777780936</v>
      </c>
    </row>
    <row r="50" spans="1:44">
      <c r="A50" s="282">
        <v>171078</v>
      </c>
      <c r="B50" s="284"/>
      <c r="C50" s="309"/>
      <c r="D50" s="306" t="s">
        <v>356</v>
      </c>
      <c r="E50" s="282">
        <v>2016</v>
      </c>
      <c r="F50" s="284">
        <v>12</v>
      </c>
      <c r="G50" s="307">
        <v>0</v>
      </c>
      <c r="H50" s="286"/>
      <c r="I50" s="308" t="s">
        <v>86</v>
      </c>
      <c r="J50" s="284">
        <v>5</v>
      </c>
      <c r="K50" s="309">
        <f t="shared" si="132"/>
        <v>2021</v>
      </c>
      <c r="N50" s="285">
        <f>22670.1/26*4</f>
        <v>3487.707692307692</v>
      </c>
      <c r="O50" s="310"/>
      <c r="P50" s="286">
        <f t="shared" si="158"/>
        <v>3487.707692307692</v>
      </c>
      <c r="Q50" s="286">
        <f t="shared" si="159"/>
        <v>58.128461538461529</v>
      </c>
      <c r="R50" s="286">
        <f t="shared" si="160"/>
        <v>697.54153846153838</v>
      </c>
      <c r="S50" s="286"/>
      <c r="T50" s="286">
        <f t="shared" si="161"/>
        <v>697.54153846153838</v>
      </c>
      <c r="U50" s="286">
        <v>1</v>
      </c>
      <c r="V50" s="286">
        <f t="shared" si="162"/>
        <v>697.54153846153838</v>
      </c>
      <c r="W50" s="286"/>
      <c r="X50" s="286">
        <f t="shared" si="163"/>
        <v>58.128461538408665</v>
      </c>
      <c r="Y50" s="286">
        <f t="shared" si="164"/>
        <v>58.128461538408665</v>
      </c>
      <c r="Z50" s="286">
        <v>1</v>
      </c>
      <c r="AA50" s="286">
        <f t="shared" si="165"/>
        <v>58.128461538408665</v>
      </c>
      <c r="AB50" s="286">
        <f t="shared" si="166"/>
        <v>755.66999999994709</v>
      </c>
      <c r="AC50" s="286">
        <f t="shared" si="167"/>
        <v>3080.8084615385142</v>
      </c>
      <c r="AD50" s="286">
        <f t="shared" si="143"/>
        <v>2016.9166666666667</v>
      </c>
      <c r="AE50" s="286">
        <f t="shared" si="12"/>
        <v>2018</v>
      </c>
      <c r="AF50" s="286">
        <f t="shared" si="145"/>
        <v>2021.9166666666667</v>
      </c>
      <c r="AG50" s="286">
        <f t="shared" si="14"/>
        <v>2017</v>
      </c>
      <c r="AH50" s="286">
        <f t="shared" si="147"/>
        <v>-8.3333333333333329E-2</v>
      </c>
      <c r="AJ50" s="11">
        <f t="shared" si="127"/>
        <v>0</v>
      </c>
      <c r="AL50" s="11">
        <f t="shared" si="128"/>
        <v>697.54153846153838</v>
      </c>
      <c r="AN50" s="11">
        <f t="shared" si="129"/>
        <v>0</v>
      </c>
      <c r="AP50" s="11">
        <f t="shared" si="130"/>
        <v>0</v>
      </c>
      <c r="AR50" s="11">
        <f t="shared" si="131"/>
        <v>3080.8084615385142</v>
      </c>
    </row>
    <row r="51" spans="1:44">
      <c r="B51" s="284"/>
      <c r="D51" s="306"/>
      <c r="G51" s="307"/>
      <c r="H51" s="286"/>
      <c r="I51" s="308"/>
      <c r="K51" s="309"/>
      <c r="O51" s="310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</row>
    <row r="52" spans="1:44" s="311" customFormat="1">
      <c r="B52" s="291"/>
      <c r="D52" s="294" t="s">
        <v>117</v>
      </c>
      <c r="F52" s="291"/>
      <c r="G52" s="295"/>
      <c r="H52" s="313"/>
      <c r="I52" s="312"/>
      <c r="J52" s="291"/>
      <c r="K52" s="290"/>
      <c r="N52" s="319">
        <f>SUM(N40:N51)</f>
        <v>686397.64902564115</v>
      </c>
      <c r="O52" s="315"/>
      <c r="P52" s="319">
        <f>SUM(P40:P51)</f>
        <v>531620.562625641</v>
      </c>
      <c r="Q52" s="319">
        <f>SUM(Q40:Q51)</f>
        <v>7163.8985167765568</v>
      </c>
      <c r="R52" s="319">
        <f>SUM(R40:R51)</f>
        <v>3340.0684273505863</v>
      </c>
      <c r="S52" s="320">
        <f t="shared" ref="S52" si="168">SUM(S40:S43)</f>
        <v>0</v>
      </c>
      <c r="T52" s="319">
        <f t="shared" ref="T52:AC52" si="169">SUM(T40:T51)</f>
        <v>3340.0684273505863</v>
      </c>
      <c r="U52" s="319">
        <f t="shared" si="169"/>
        <v>11</v>
      </c>
      <c r="V52" s="319">
        <f t="shared" si="169"/>
        <v>3340.0684273505863</v>
      </c>
      <c r="W52" s="319">
        <f t="shared" si="169"/>
        <v>0</v>
      </c>
      <c r="X52" s="319">
        <f t="shared" si="169"/>
        <v>523429.77650598268</v>
      </c>
      <c r="Y52" s="319">
        <f t="shared" si="169"/>
        <v>523429.77650598268</v>
      </c>
      <c r="Z52" s="319">
        <f t="shared" si="169"/>
        <v>11</v>
      </c>
      <c r="AA52" s="319">
        <f t="shared" si="169"/>
        <v>523429.77650598268</v>
      </c>
      <c r="AB52" s="319">
        <f t="shared" si="169"/>
        <v>526769.84493333322</v>
      </c>
      <c r="AC52" s="319">
        <f t="shared" si="169"/>
        <v>161297.83830598299</v>
      </c>
      <c r="AD52" s="320"/>
      <c r="AE52" s="320"/>
      <c r="AF52" s="320"/>
      <c r="AG52" s="316"/>
      <c r="AH52" s="316"/>
      <c r="AJ52" s="8">
        <f t="shared" ref="AJ52:AR52" si="170">SUM(AJ40:AJ51)</f>
        <v>51592.362133333336</v>
      </c>
      <c r="AK52" s="8">
        <f t="shared" si="170"/>
        <v>0</v>
      </c>
      <c r="AL52" s="8">
        <f t="shared" si="170"/>
        <v>54932.430560683926</v>
      </c>
      <c r="AM52" s="8">
        <f t="shared" si="170"/>
        <v>0</v>
      </c>
      <c r="AN52" s="8">
        <f t="shared" si="170"/>
        <v>-154192.43239999999</v>
      </c>
      <c r="AO52" s="8">
        <f t="shared" si="170"/>
        <v>0</v>
      </c>
      <c r="AP52" s="8">
        <f t="shared" si="170"/>
        <v>645.38566666667668</v>
      </c>
      <c r="AQ52" s="8">
        <f t="shared" si="170"/>
        <v>0</v>
      </c>
      <c r="AR52" s="8">
        <f t="shared" si="170"/>
        <v>7007.9635726497036</v>
      </c>
    </row>
    <row r="53" spans="1:44" s="311" customFormat="1">
      <c r="B53" s="291"/>
      <c r="C53" s="288"/>
      <c r="D53" s="306"/>
      <c r="E53" s="290"/>
      <c r="F53" s="312"/>
      <c r="G53" s="312"/>
      <c r="H53" s="313"/>
      <c r="I53" s="312"/>
      <c r="J53" s="291"/>
      <c r="K53" s="290"/>
      <c r="N53" s="288"/>
      <c r="O53" s="317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J53" s="9"/>
      <c r="AK53" s="9"/>
      <c r="AL53" s="9"/>
      <c r="AM53" s="9"/>
      <c r="AN53" s="9"/>
      <c r="AO53" s="9"/>
      <c r="AP53" s="9"/>
      <c r="AQ53" s="9"/>
      <c r="AR53" s="9"/>
    </row>
    <row r="54" spans="1:44" s="311" customFormat="1">
      <c r="B54" s="291"/>
      <c r="C54" s="288"/>
      <c r="D54" s="306"/>
      <c r="E54" s="290"/>
      <c r="F54" s="312"/>
      <c r="G54" s="312"/>
      <c r="H54" s="313"/>
      <c r="I54" s="312"/>
      <c r="J54" s="291"/>
      <c r="K54" s="290"/>
      <c r="N54" s="288"/>
      <c r="O54" s="317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J54" s="9"/>
      <c r="AK54" s="9"/>
      <c r="AL54" s="9"/>
      <c r="AM54" s="9"/>
      <c r="AN54" s="9"/>
      <c r="AO54" s="9"/>
      <c r="AP54" s="9"/>
      <c r="AQ54" s="9"/>
      <c r="AR54" s="9"/>
    </row>
    <row r="55" spans="1:44" s="311" customFormat="1">
      <c r="B55" s="291"/>
      <c r="C55" s="288"/>
      <c r="D55" s="306"/>
      <c r="E55" s="290"/>
      <c r="F55" s="312"/>
      <c r="G55" s="312"/>
      <c r="H55" s="313"/>
      <c r="I55" s="312"/>
      <c r="J55" s="291"/>
      <c r="K55" s="290"/>
      <c r="N55" s="288"/>
      <c r="O55" s="317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J55" s="9"/>
      <c r="AK55" s="9"/>
      <c r="AL55" s="9"/>
      <c r="AM55" s="9"/>
      <c r="AN55" s="9"/>
      <c r="AO55" s="9"/>
      <c r="AP55" s="9"/>
      <c r="AQ55" s="9"/>
      <c r="AR55" s="9"/>
    </row>
    <row r="56" spans="1:44" s="311" customFormat="1">
      <c r="B56" s="291"/>
      <c r="C56" s="288"/>
      <c r="D56" s="306"/>
      <c r="E56" s="290"/>
      <c r="F56" s="312"/>
      <c r="G56" s="312"/>
      <c r="H56" s="313"/>
      <c r="I56" s="312"/>
      <c r="J56" s="291"/>
      <c r="K56" s="290"/>
      <c r="N56" s="288"/>
      <c r="O56" s="317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J56" s="9"/>
      <c r="AK56" s="9"/>
      <c r="AL56" s="9"/>
      <c r="AM56" s="9"/>
      <c r="AN56" s="9"/>
      <c r="AO56" s="9"/>
      <c r="AP56" s="9"/>
      <c r="AQ56" s="9"/>
      <c r="AR56" s="9"/>
    </row>
    <row r="57" spans="1:44" s="311" customFormat="1">
      <c r="A57" s="282">
        <v>174656</v>
      </c>
      <c r="B57" s="284"/>
      <c r="C57" s="309"/>
      <c r="D57" s="306" t="s">
        <v>416</v>
      </c>
      <c r="E57" s="282">
        <v>2004</v>
      </c>
      <c r="F57" s="284">
        <v>4</v>
      </c>
      <c r="G57" s="307">
        <v>0</v>
      </c>
      <c r="H57" s="286"/>
      <c r="I57" s="308" t="s">
        <v>86</v>
      </c>
      <c r="J57" s="284">
        <v>3</v>
      </c>
      <c r="K57" s="309">
        <f t="shared" ref="K57:K61" si="171">E57+J57</f>
        <v>2007</v>
      </c>
      <c r="N57" s="321">
        <v>35000</v>
      </c>
      <c r="O57" s="317"/>
      <c r="P57" s="286">
        <f t="shared" ref="P57:P61" si="172">N57-N57*G57</f>
        <v>35000</v>
      </c>
      <c r="Q57" s="286">
        <f t="shared" ref="Q57:Q61" si="173">P57/J57/12</f>
        <v>972.22222222222217</v>
      </c>
      <c r="R57" s="286">
        <f t="shared" ref="R57:R61" si="174">IF(O57&gt;0,0,IF(OR(AD57&gt;AE57,AF57&lt;AG57),0,IF(AND(AF57&gt;=AG57,AF57&lt;=AE57),Q57*((AF57-AG57)*12),IF(AND(AG57&lt;=AD57,AE57&gt;=AD57),((AE57-AD57)*12)*Q57,IF(AF57&gt;AE57,12*Q57,0)))))</f>
        <v>0</v>
      </c>
      <c r="S57" s="286"/>
      <c r="T57" s="286">
        <f t="shared" ref="T57:T61" si="175">IF(S57&gt;0,S57,R57)</f>
        <v>0</v>
      </c>
      <c r="U57" s="286">
        <v>1</v>
      </c>
      <c r="V57" s="286">
        <f t="shared" ref="V57:V61" si="176">U57*SUM(R57:S57)</f>
        <v>0</v>
      </c>
      <c r="W57" s="286"/>
      <c r="X57" s="286">
        <f t="shared" ref="X57:X61" si="177">IF(AD57&gt;AE57,0,IF(AF57&lt;AG57,P57,IF(AND(AF57&gt;=AG57,AF57&lt;=AE57),(P57-T57),IF(AND(AG57&lt;=AD57,AE57&gt;=AD57),0,IF(AF57&gt;AE57,((AG57-AD57)*12)*Q57,0)))))</f>
        <v>35000</v>
      </c>
      <c r="Y57" s="286">
        <f t="shared" ref="Y57:Y61" si="178">X57*U57</f>
        <v>35000</v>
      </c>
      <c r="Z57" s="286">
        <v>1</v>
      </c>
      <c r="AA57" s="286">
        <f t="shared" ref="AA57:AA61" si="179">Y57*Z57</f>
        <v>35000</v>
      </c>
      <c r="AB57" s="286">
        <f t="shared" ref="AB57:AB61" si="180">IF(O57&gt;0,0,AA57+V57*Z57)*Z57</f>
        <v>35000</v>
      </c>
      <c r="AC57" s="286">
        <f t="shared" ref="AC57:AC61" si="181">IF(O57&gt;0,(N57-AA57)/2,IF(AD57&gt;=AG57,(((N57*U57)*Z57)-AB57)/2,((((N57*U57)*Z57)-AA57)+(((N57*U57)*Z57)-AB57))/2))</f>
        <v>0</v>
      </c>
      <c r="AD57" s="286">
        <f t="shared" ref="AD57:AD61" si="182">$E57+(($F57-1)/12)</f>
        <v>2004.25</v>
      </c>
      <c r="AE57" s="286">
        <f t="shared" ref="AE57:AE66" si="183">($P$5+1)-($P$2/12)</f>
        <v>2018</v>
      </c>
      <c r="AF57" s="286">
        <f t="shared" ref="AF57:AF61" si="184">$K57+(($F57-1)/12)</f>
        <v>2007.25</v>
      </c>
      <c r="AG57" s="286">
        <f t="shared" ref="AG57:AG66" si="185">$P$4+($P$3/12)</f>
        <v>2017</v>
      </c>
      <c r="AH57" s="286">
        <f t="shared" ref="AH57:AH61" si="186">$L57+(($M57-1)/12)</f>
        <v>-8.3333333333333329E-2</v>
      </c>
      <c r="AJ57" s="11">
        <f t="shared" ref="AJ57:AJ66" si="187">+IF((AF57-AG57)&gt;3,((N57-P57)/(AF57-AG57)),(N57-P57)/3)</f>
        <v>0</v>
      </c>
      <c r="AK57" s="11"/>
      <c r="AL57" s="11">
        <f t="shared" ref="AL57:AL66" si="188">+AJ57+R57</f>
        <v>0</v>
      </c>
      <c r="AM57" s="11"/>
      <c r="AN57" s="11">
        <f t="shared" ref="AN57:AN66" si="189">+IF(AF57&lt;AG57,-AC57,0)</f>
        <v>0</v>
      </c>
      <c r="AO57" s="11"/>
      <c r="AP57" s="11">
        <f t="shared" ref="AP57:AP66" si="190">+IF(AF57&gt;AG57,IF(AJ57&gt;0,IF(O57&gt;0,(N57-AA57)/2,IF(AD57&gt;=AG57,(((N57*U57)*Z57)-(AB57+AJ57))/2,((((N57*U57)*Z57)-AA57)+(((N57*U57)*Z57)-(AB57+AJ57)))/2)),0),0)</f>
        <v>0</v>
      </c>
      <c r="AQ57" s="11"/>
      <c r="AR57" s="11">
        <f t="shared" ref="AR57:AR66" si="191">+AC57+AN57+(IF(AP57&gt;0,(AP57-AC57),0))</f>
        <v>0</v>
      </c>
    </row>
    <row r="58" spans="1:44" s="311" customFormat="1">
      <c r="A58" s="282" t="s">
        <v>421</v>
      </c>
      <c r="B58" s="284"/>
      <c r="C58" s="309"/>
      <c r="D58" s="306" t="s">
        <v>422</v>
      </c>
      <c r="E58" s="282">
        <v>2004</v>
      </c>
      <c r="F58" s="284">
        <v>9</v>
      </c>
      <c r="G58" s="307">
        <v>0</v>
      </c>
      <c r="H58" s="286"/>
      <c r="I58" s="308" t="s">
        <v>86</v>
      </c>
      <c r="J58" s="284">
        <v>3</v>
      </c>
      <c r="K58" s="309">
        <f t="shared" si="171"/>
        <v>2007</v>
      </c>
      <c r="N58" s="321">
        <v>2064</v>
      </c>
      <c r="O58" s="317"/>
      <c r="P58" s="286">
        <f t="shared" si="172"/>
        <v>2064</v>
      </c>
      <c r="Q58" s="286">
        <f t="shared" si="173"/>
        <v>57.333333333333336</v>
      </c>
      <c r="R58" s="286">
        <f t="shared" si="174"/>
        <v>0</v>
      </c>
      <c r="S58" s="286"/>
      <c r="T58" s="286">
        <f t="shared" si="175"/>
        <v>0</v>
      </c>
      <c r="U58" s="286">
        <v>1</v>
      </c>
      <c r="V58" s="286">
        <f t="shared" si="176"/>
        <v>0</v>
      </c>
      <c r="W58" s="286"/>
      <c r="X58" s="286">
        <f t="shared" si="177"/>
        <v>2064</v>
      </c>
      <c r="Y58" s="286">
        <f t="shared" si="178"/>
        <v>2064</v>
      </c>
      <c r="Z58" s="286">
        <v>1</v>
      </c>
      <c r="AA58" s="286">
        <f t="shared" si="179"/>
        <v>2064</v>
      </c>
      <c r="AB58" s="286">
        <f t="shared" si="180"/>
        <v>2064</v>
      </c>
      <c r="AC58" s="286">
        <f t="shared" si="181"/>
        <v>0</v>
      </c>
      <c r="AD58" s="286">
        <f t="shared" si="182"/>
        <v>2004.6666666666667</v>
      </c>
      <c r="AE58" s="286">
        <f t="shared" si="183"/>
        <v>2018</v>
      </c>
      <c r="AF58" s="286">
        <f t="shared" si="184"/>
        <v>2007.6666666666667</v>
      </c>
      <c r="AG58" s="286">
        <f t="shared" si="185"/>
        <v>2017</v>
      </c>
      <c r="AH58" s="286">
        <f t="shared" si="186"/>
        <v>-8.3333333333333329E-2</v>
      </c>
      <c r="AJ58" s="11">
        <f t="shared" si="187"/>
        <v>0</v>
      </c>
      <c r="AK58" s="11"/>
      <c r="AL58" s="11">
        <f t="shared" si="188"/>
        <v>0</v>
      </c>
      <c r="AM58" s="11"/>
      <c r="AN58" s="11">
        <f t="shared" si="189"/>
        <v>0</v>
      </c>
      <c r="AO58" s="11"/>
      <c r="AP58" s="11">
        <f t="shared" si="190"/>
        <v>0</v>
      </c>
      <c r="AQ58" s="11"/>
      <c r="AR58" s="11">
        <f t="shared" si="191"/>
        <v>0</v>
      </c>
    </row>
    <row r="59" spans="1:44" s="311" customFormat="1">
      <c r="A59" s="282" t="s">
        <v>423</v>
      </c>
      <c r="B59" s="284"/>
      <c r="C59" s="309"/>
      <c r="D59" s="306" t="s">
        <v>424</v>
      </c>
      <c r="E59" s="282">
        <v>2004</v>
      </c>
      <c r="F59" s="284">
        <v>8</v>
      </c>
      <c r="G59" s="307">
        <v>0</v>
      </c>
      <c r="H59" s="286"/>
      <c r="I59" s="308" t="s">
        <v>86</v>
      </c>
      <c r="J59" s="284">
        <v>3</v>
      </c>
      <c r="K59" s="309">
        <f t="shared" si="171"/>
        <v>2007</v>
      </c>
      <c r="N59" s="321">
        <v>1465.21</v>
      </c>
      <c r="O59" s="317"/>
      <c r="P59" s="286">
        <f t="shared" si="172"/>
        <v>1465.21</v>
      </c>
      <c r="Q59" s="286">
        <f t="shared" si="173"/>
        <v>40.700277777777778</v>
      </c>
      <c r="R59" s="286">
        <f t="shared" si="174"/>
        <v>0</v>
      </c>
      <c r="S59" s="286"/>
      <c r="T59" s="286">
        <f t="shared" si="175"/>
        <v>0</v>
      </c>
      <c r="U59" s="286">
        <v>1</v>
      </c>
      <c r="V59" s="286">
        <f t="shared" si="176"/>
        <v>0</v>
      </c>
      <c r="W59" s="286"/>
      <c r="X59" s="286">
        <f t="shared" si="177"/>
        <v>1465.21</v>
      </c>
      <c r="Y59" s="286">
        <f t="shared" si="178"/>
        <v>1465.21</v>
      </c>
      <c r="Z59" s="286">
        <v>1</v>
      </c>
      <c r="AA59" s="286">
        <f t="shared" si="179"/>
        <v>1465.21</v>
      </c>
      <c r="AB59" s="286">
        <f t="shared" si="180"/>
        <v>1465.21</v>
      </c>
      <c r="AC59" s="286">
        <f t="shared" si="181"/>
        <v>0</v>
      </c>
      <c r="AD59" s="286">
        <f t="shared" si="182"/>
        <v>2004.5833333333333</v>
      </c>
      <c r="AE59" s="286">
        <f t="shared" si="183"/>
        <v>2018</v>
      </c>
      <c r="AF59" s="286">
        <f t="shared" si="184"/>
        <v>2007.5833333333333</v>
      </c>
      <c r="AG59" s="286">
        <f t="shared" si="185"/>
        <v>2017</v>
      </c>
      <c r="AH59" s="286">
        <f t="shared" si="186"/>
        <v>-8.3333333333333329E-2</v>
      </c>
      <c r="AJ59" s="11">
        <f t="shared" si="187"/>
        <v>0</v>
      </c>
      <c r="AK59" s="11"/>
      <c r="AL59" s="11">
        <f t="shared" si="188"/>
        <v>0</v>
      </c>
      <c r="AM59" s="11"/>
      <c r="AN59" s="11">
        <f t="shared" si="189"/>
        <v>0</v>
      </c>
      <c r="AO59" s="11"/>
      <c r="AP59" s="11">
        <f t="shared" si="190"/>
        <v>0</v>
      </c>
      <c r="AQ59" s="11"/>
      <c r="AR59" s="11">
        <f t="shared" si="191"/>
        <v>0</v>
      </c>
    </row>
    <row r="60" spans="1:44" s="311" customFormat="1">
      <c r="A60" s="282" t="s">
        <v>425</v>
      </c>
      <c r="B60" s="284"/>
      <c r="C60" s="309"/>
      <c r="D60" s="306" t="s">
        <v>424</v>
      </c>
      <c r="E60" s="282">
        <v>2004</v>
      </c>
      <c r="F60" s="284">
        <v>9</v>
      </c>
      <c r="G60" s="307">
        <v>0</v>
      </c>
      <c r="H60" s="286"/>
      <c r="I60" s="308" t="s">
        <v>86</v>
      </c>
      <c r="J60" s="284">
        <v>3</v>
      </c>
      <c r="K60" s="309">
        <f t="shared" si="171"/>
        <v>2007</v>
      </c>
      <c r="N60" s="321">
        <v>156.86000000000001</v>
      </c>
      <c r="O60" s="317"/>
      <c r="P60" s="286">
        <f t="shared" si="172"/>
        <v>156.86000000000001</v>
      </c>
      <c r="Q60" s="286">
        <f t="shared" si="173"/>
        <v>4.3572222222222221</v>
      </c>
      <c r="R60" s="286">
        <f t="shared" si="174"/>
        <v>0</v>
      </c>
      <c r="S60" s="286"/>
      <c r="T60" s="286">
        <f t="shared" si="175"/>
        <v>0</v>
      </c>
      <c r="U60" s="286">
        <v>1</v>
      </c>
      <c r="V60" s="286">
        <f t="shared" si="176"/>
        <v>0</v>
      </c>
      <c r="W60" s="286"/>
      <c r="X60" s="286">
        <f t="shared" si="177"/>
        <v>156.86000000000001</v>
      </c>
      <c r="Y60" s="286">
        <f t="shared" si="178"/>
        <v>156.86000000000001</v>
      </c>
      <c r="Z60" s="286">
        <v>1</v>
      </c>
      <c r="AA60" s="286">
        <f t="shared" si="179"/>
        <v>156.86000000000001</v>
      </c>
      <c r="AB60" s="286">
        <f t="shared" si="180"/>
        <v>156.86000000000001</v>
      </c>
      <c r="AC60" s="286">
        <f t="shared" si="181"/>
        <v>0</v>
      </c>
      <c r="AD60" s="286">
        <f t="shared" si="182"/>
        <v>2004.6666666666667</v>
      </c>
      <c r="AE60" s="286">
        <f t="shared" si="183"/>
        <v>2018</v>
      </c>
      <c r="AF60" s="286">
        <f t="shared" si="184"/>
        <v>2007.6666666666667</v>
      </c>
      <c r="AG60" s="286">
        <f t="shared" si="185"/>
        <v>2017</v>
      </c>
      <c r="AH60" s="286">
        <f t="shared" si="186"/>
        <v>-8.3333333333333329E-2</v>
      </c>
      <c r="AJ60" s="11">
        <f t="shared" si="187"/>
        <v>0</v>
      </c>
      <c r="AK60" s="11"/>
      <c r="AL60" s="11">
        <f t="shared" si="188"/>
        <v>0</v>
      </c>
      <c r="AM60" s="11"/>
      <c r="AN60" s="11">
        <f t="shared" si="189"/>
        <v>0</v>
      </c>
      <c r="AO60" s="11"/>
      <c r="AP60" s="11">
        <f t="shared" si="190"/>
        <v>0</v>
      </c>
      <c r="AQ60" s="11"/>
      <c r="AR60" s="11">
        <f t="shared" si="191"/>
        <v>0</v>
      </c>
    </row>
    <row r="61" spans="1:44" s="311" customFormat="1">
      <c r="A61" s="282" t="s">
        <v>426</v>
      </c>
      <c r="B61" s="284"/>
      <c r="C61" s="309"/>
      <c r="D61" s="306" t="s">
        <v>422</v>
      </c>
      <c r="E61" s="282">
        <v>2004</v>
      </c>
      <c r="F61" s="284">
        <v>8</v>
      </c>
      <c r="G61" s="307">
        <v>0</v>
      </c>
      <c r="H61" s="286"/>
      <c r="I61" s="308" t="s">
        <v>86</v>
      </c>
      <c r="J61" s="284">
        <v>3</v>
      </c>
      <c r="K61" s="309">
        <f t="shared" si="171"/>
        <v>2007</v>
      </c>
      <c r="N61" s="321">
        <v>19279.099999999999</v>
      </c>
      <c r="O61" s="317"/>
      <c r="P61" s="286">
        <f t="shared" si="172"/>
        <v>19279.099999999999</v>
      </c>
      <c r="Q61" s="286">
        <f t="shared" si="173"/>
        <v>535.53055555555545</v>
      </c>
      <c r="R61" s="286">
        <f t="shared" si="174"/>
        <v>0</v>
      </c>
      <c r="S61" s="286"/>
      <c r="T61" s="286">
        <f t="shared" si="175"/>
        <v>0</v>
      </c>
      <c r="U61" s="286">
        <v>1</v>
      </c>
      <c r="V61" s="286">
        <f t="shared" si="176"/>
        <v>0</v>
      </c>
      <c r="W61" s="286"/>
      <c r="X61" s="286">
        <f t="shared" si="177"/>
        <v>19279.099999999999</v>
      </c>
      <c r="Y61" s="286">
        <f t="shared" si="178"/>
        <v>19279.099999999999</v>
      </c>
      <c r="Z61" s="286">
        <v>1</v>
      </c>
      <c r="AA61" s="286">
        <f t="shared" si="179"/>
        <v>19279.099999999999</v>
      </c>
      <c r="AB61" s="286">
        <f t="shared" si="180"/>
        <v>19279.099999999999</v>
      </c>
      <c r="AC61" s="286">
        <f t="shared" si="181"/>
        <v>0</v>
      </c>
      <c r="AD61" s="286">
        <f t="shared" si="182"/>
        <v>2004.5833333333333</v>
      </c>
      <c r="AE61" s="286">
        <f t="shared" si="183"/>
        <v>2018</v>
      </c>
      <c r="AF61" s="286">
        <f t="shared" si="184"/>
        <v>2007.5833333333333</v>
      </c>
      <c r="AG61" s="286">
        <f t="shared" si="185"/>
        <v>2017</v>
      </c>
      <c r="AH61" s="286">
        <f t="shared" si="186"/>
        <v>-8.3333333333333329E-2</v>
      </c>
      <c r="AJ61" s="11">
        <f t="shared" si="187"/>
        <v>0</v>
      </c>
      <c r="AK61" s="11"/>
      <c r="AL61" s="11">
        <f t="shared" si="188"/>
        <v>0</v>
      </c>
      <c r="AM61" s="11"/>
      <c r="AN61" s="11">
        <f t="shared" si="189"/>
        <v>0</v>
      </c>
      <c r="AO61" s="11"/>
      <c r="AP61" s="11">
        <f t="shared" si="190"/>
        <v>0</v>
      </c>
      <c r="AQ61" s="11"/>
      <c r="AR61" s="11">
        <f t="shared" si="191"/>
        <v>0</v>
      </c>
    </row>
    <row r="62" spans="1:44" s="311" customFormat="1">
      <c r="B62" s="284" t="s">
        <v>118</v>
      </c>
      <c r="C62" s="309">
        <v>17</v>
      </c>
      <c r="D62" s="306" t="s">
        <v>119</v>
      </c>
      <c r="E62" s="282">
        <v>2011</v>
      </c>
      <c r="F62" s="284">
        <v>3</v>
      </c>
      <c r="G62" s="307">
        <v>0.33</v>
      </c>
      <c r="H62" s="286"/>
      <c r="I62" s="308" t="s">
        <v>86</v>
      </c>
      <c r="J62" s="284">
        <v>5</v>
      </c>
      <c r="K62" s="309">
        <f t="shared" ref="K62:K66" si="192">E62+J62</f>
        <v>2016</v>
      </c>
      <c r="N62" s="321">
        <f>24000*1.083</f>
        <v>25992</v>
      </c>
      <c r="O62" s="317"/>
      <c r="P62" s="286">
        <f t="shared" ref="P62:P66" si="193">N62-N62*G62</f>
        <v>17414.64</v>
      </c>
      <c r="Q62" s="286">
        <f t="shared" ref="Q62:Q66" si="194">P62/J62/12</f>
        <v>290.24399999999997</v>
      </c>
      <c r="R62" s="286">
        <f t="shared" ref="R62:R66" si="195">IF(O62&gt;0,0,IF(OR(AD62&gt;AE62,AF62&lt;AG62),0,IF(AND(AF62&gt;=AG62,AF62&lt;=AE62),Q62*((AF62-AG62)*12),IF(AND(AG62&lt;=AD62,AE62&gt;=AD62),((AE62-AD62)*12)*Q62,IF(AF62&gt;AE62,12*Q62,0)))))</f>
        <v>0</v>
      </c>
      <c r="S62" s="286"/>
      <c r="T62" s="286">
        <f t="shared" ref="T62:T66" si="196">IF(S62&gt;0,S62,R62)</f>
        <v>0</v>
      </c>
      <c r="U62" s="286">
        <v>1</v>
      </c>
      <c r="V62" s="286">
        <f t="shared" ref="V62:V66" si="197">U62*SUM(R62:S62)</f>
        <v>0</v>
      </c>
      <c r="W62" s="286"/>
      <c r="X62" s="286">
        <f t="shared" ref="X62:X66" si="198">IF(AD62&gt;AE62,0,IF(AF62&lt;AG62,P62,IF(AND(AF62&gt;=AG62,AF62&lt;=AE62),(P62-T62),IF(AND(AG62&lt;=AD62,AE62&gt;=AD62),0,IF(AF62&gt;AE62,((AG62-AD62)*12)*Q62,0)))))</f>
        <v>17414.64</v>
      </c>
      <c r="Y62" s="286">
        <f t="shared" ref="Y62:Y66" si="199">X62*U62</f>
        <v>17414.64</v>
      </c>
      <c r="Z62" s="286">
        <v>1</v>
      </c>
      <c r="AA62" s="286">
        <f t="shared" ref="AA62:AA66" si="200">Y62*Z62</f>
        <v>17414.64</v>
      </c>
      <c r="AB62" s="286">
        <f t="shared" ref="AB62:AB66" si="201">IF(O62&gt;0,0,AA62+V62*Z62)*Z62</f>
        <v>17414.64</v>
      </c>
      <c r="AC62" s="286">
        <f t="shared" ref="AC62:AC66" si="202">IF(O62&gt;0,(N62-AA62)/2,IF(AD62&gt;=AG62,(((N62*U62)*Z62)-AB62)/2,((((N62*U62)*Z62)-AA62)+(((N62*U62)*Z62)-AB62))/2))</f>
        <v>8577.36</v>
      </c>
      <c r="AD62" s="286">
        <f t="shared" ref="AD62:AD66" si="203">$E62+(($F62-1)/12)</f>
        <v>2011.1666666666667</v>
      </c>
      <c r="AE62" s="286">
        <f t="shared" si="183"/>
        <v>2018</v>
      </c>
      <c r="AF62" s="286">
        <f t="shared" ref="AF62:AF66" si="204">$K62+(($F62-1)/12)</f>
        <v>2016.1666666666667</v>
      </c>
      <c r="AG62" s="286">
        <f t="shared" si="185"/>
        <v>2017</v>
      </c>
      <c r="AH62" s="286">
        <f t="shared" ref="AH62:AH66" si="205">$L62+(($M62-1)/12)</f>
        <v>-8.3333333333333329E-2</v>
      </c>
      <c r="AJ62" s="11">
        <f t="shared" si="187"/>
        <v>2859.1200000000003</v>
      </c>
      <c r="AK62" s="11"/>
      <c r="AL62" s="11">
        <f t="shared" si="188"/>
        <v>2859.1200000000003</v>
      </c>
      <c r="AM62" s="11"/>
      <c r="AN62" s="11">
        <f t="shared" si="189"/>
        <v>-8577.36</v>
      </c>
      <c r="AO62" s="11"/>
      <c r="AP62" s="11">
        <f t="shared" si="190"/>
        <v>0</v>
      </c>
      <c r="AQ62" s="11"/>
      <c r="AR62" s="11">
        <f t="shared" si="191"/>
        <v>0</v>
      </c>
    </row>
    <row r="63" spans="1:44" s="311" customFormat="1">
      <c r="A63" s="282" t="s">
        <v>417</v>
      </c>
      <c r="B63" s="284"/>
      <c r="C63" s="309"/>
      <c r="D63" s="306" t="s">
        <v>420</v>
      </c>
      <c r="E63" s="282">
        <v>2012</v>
      </c>
      <c r="F63" s="284">
        <v>9</v>
      </c>
      <c r="G63" s="307">
        <v>0</v>
      </c>
      <c r="H63" s="286"/>
      <c r="I63" s="308" t="s">
        <v>86</v>
      </c>
      <c r="J63" s="284">
        <v>3</v>
      </c>
      <c r="K63" s="309">
        <f>E63+J63</f>
        <v>2015</v>
      </c>
      <c r="N63" s="321">
        <v>10263.469999999999</v>
      </c>
      <c r="O63" s="317"/>
      <c r="P63" s="286">
        <f>N63-N63*G63</f>
        <v>10263.469999999999</v>
      </c>
      <c r="Q63" s="286">
        <f>P63/J63/12</f>
        <v>285.09638888888884</v>
      </c>
      <c r="R63" s="286">
        <f>IF(O63&gt;0,0,IF(OR(AD63&gt;AE63,AF63&lt;AG63),0,IF(AND(AF63&gt;=AG63,AF63&lt;=AE63),Q63*((AF63-AG63)*12),IF(AND(AG63&lt;=AD63,AE63&gt;=AD63),((AE63-AD63)*12)*Q63,IF(AF63&gt;AE63,12*Q63,0)))))</f>
        <v>0</v>
      </c>
      <c r="S63" s="286"/>
      <c r="T63" s="286">
        <f>IF(S63&gt;0,S63,R63)</f>
        <v>0</v>
      </c>
      <c r="U63" s="286">
        <v>1</v>
      </c>
      <c r="V63" s="286">
        <f>U63*SUM(R63:S63)</f>
        <v>0</v>
      </c>
      <c r="W63" s="286"/>
      <c r="X63" s="286">
        <f>IF(AD63&gt;AE63,0,IF(AF63&lt;AG63,P63,IF(AND(AF63&gt;=AG63,AF63&lt;=AE63),(P63-T63),IF(AND(AG63&lt;=AD63,AE63&gt;=AD63),0,IF(AF63&gt;AE63,((AG63-AD63)*12)*Q63,0)))))</f>
        <v>10263.469999999999</v>
      </c>
      <c r="Y63" s="286">
        <f>X63*U63</f>
        <v>10263.469999999999</v>
      </c>
      <c r="Z63" s="286">
        <v>1</v>
      </c>
      <c r="AA63" s="286">
        <f>Y63*Z63</f>
        <v>10263.469999999999</v>
      </c>
      <c r="AB63" s="286">
        <f>IF(O63&gt;0,0,AA63+V63*Z63)*Z63</f>
        <v>10263.469999999999</v>
      </c>
      <c r="AC63" s="286">
        <f>IF(O63&gt;0,(N63-AA63)/2,IF(AD63&gt;=AG63,(((N63*U63)*Z63)-AB63)/2,((((N63*U63)*Z63)-AA63)+(((N63*U63)*Z63)-AB63))/2))</f>
        <v>0</v>
      </c>
      <c r="AD63" s="286">
        <f>$E63+(($F63-1)/12)</f>
        <v>2012.6666666666667</v>
      </c>
      <c r="AE63" s="286">
        <f t="shared" si="183"/>
        <v>2018</v>
      </c>
      <c r="AF63" s="286">
        <f>$K63+(($F63-1)/12)</f>
        <v>2015.6666666666667</v>
      </c>
      <c r="AG63" s="286">
        <f t="shared" si="185"/>
        <v>2017</v>
      </c>
      <c r="AH63" s="286">
        <f>$L63+(($M63-1)/12)</f>
        <v>-8.3333333333333329E-2</v>
      </c>
      <c r="AJ63" s="11">
        <f t="shared" si="187"/>
        <v>0</v>
      </c>
      <c r="AK63" s="11"/>
      <c r="AL63" s="11">
        <f t="shared" si="188"/>
        <v>0</v>
      </c>
      <c r="AM63" s="11"/>
      <c r="AN63" s="11">
        <f t="shared" si="189"/>
        <v>0</v>
      </c>
      <c r="AO63" s="11"/>
      <c r="AP63" s="11">
        <f t="shared" si="190"/>
        <v>0</v>
      </c>
      <c r="AQ63" s="11"/>
      <c r="AR63" s="11">
        <f t="shared" si="191"/>
        <v>0</v>
      </c>
    </row>
    <row r="64" spans="1:44" s="311" customFormat="1">
      <c r="A64" s="282" t="s">
        <v>419</v>
      </c>
      <c r="B64" s="284"/>
      <c r="C64" s="309"/>
      <c r="D64" s="306" t="s">
        <v>418</v>
      </c>
      <c r="E64" s="282">
        <v>2012</v>
      </c>
      <c r="F64" s="284">
        <v>9</v>
      </c>
      <c r="G64" s="307">
        <v>0</v>
      </c>
      <c r="H64" s="286"/>
      <c r="I64" s="308" t="s">
        <v>86</v>
      </c>
      <c r="J64" s="284">
        <v>3</v>
      </c>
      <c r="K64" s="309">
        <f>E64+J64</f>
        <v>2015</v>
      </c>
      <c r="N64" s="321">
        <v>25500</v>
      </c>
      <c r="O64" s="317"/>
      <c r="P64" s="286">
        <f>N64-N64*G64</f>
        <v>25500</v>
      </c>
      <c r="Q64" s="286">
        <f>P64/J64/12</f>
        <v>708.33333333333337</v>
      </c>
      <c r="R64" s="286">
        <f>IF(O64&gt;0,0,IF(OR(AD64&gt;AE64,AF64&lt;AG64),0,IF(AND(AF64&gt;=AG64,AF64&lt;=AE64),Q64*((AF64-AG64)*12),IF(AND(AG64&lt;=AD64,AE64&gt;=AD64),((AE64-AD64)*12)*Q64,IF(AF64&gt;AE64,12*Q64,0)))))</f>
        <v>0</v>
      </c>
      <c r="S64" s="286"/>
      <c r="T64" s="286">
        <f>IF(S64&gt;0,S64,R64)</f>
        <v>0</v>
      </c>
      <c r="U64" s="286">
        <v>1</v>
      </c>
      <c r="V64" s="286">
        <f>U64*SUM(R64:S64)</f>
        <v>0</v>
      </c>
      <c r="W64" s="286"/>
      <c r="X64" s="286">
        <f>IF(AD64&gt;AE64,0,IF(AF64&lt;AG64,P64,IF(AND(AF64&gt;=AG64,AF64&lt;=AE64),(P64-T64),IF(AND(AG64&lt;=AD64,AE64&gt;=AD64),0,IF(AF64&gt;AE64,((AG64-AD64)*12)*Q64,0)))))</f>
        <v>25500</v>
      </c>
      <c r="Y64" s="286">
        <f>X64*U64</f>
        <v>25500</v>
      </c>
      <c r="Z64" s="286">
        <v>1</v>
      </c>
      <c r="AA64" s="286">
        <f>Y64*Z64</f>
        <v>25500</v>
      </c>
      <c r="AB64" s="286">
        <f>IF(O64&gt;0,0,AA64+V64*Z64)*Z64</f>
        <v>25500</v>
      </c>
      <c r="AC64" s="286">
        <f>IF(O64&gt;0,(N64-AA64)/2,IF(AD64&gt;=AG64,(((N64*U64)*Z64)-AB64)/2,((((N64*U64)*Z64)-AA64)+(((N64*U64)*Z64)-AB64))/2))</f>
        <v>0</v>
      </c>
      <c r="AD64" s="286">
        <f>$E64+(($F64-1)/12)</f>
        <v>2012.6666666666667</v>
      </c>
      <c r="AE64" s="286">
        <f t="shared" si="183"/>
        <v>2018</v>
      </c>
      <c r="AF64" s="286">
        <f>$K64+(($F64-1)/12)</f>
        <v>2015.6666666666667</v>
      </c>
      <c r="AG64" s="286">
        <f t="shared" si="185"/>
        <v>2017</v>
      </c>
      <c r="AH64" s="286">
        <f>$L64+(($M64-1)/12)</f>
        <v>-8.3333333333333329E-2</v>
      </c>
      <c r="AJ64" s="11">
        <f t="shared" si="187"/>
        <v>0</v>
      </c>
      <c r="AK64" s="11"/>
      <c r="AL64" s="11">
        <f t="shared" si="188"/>
        <v>0</v>
      </c>
      <c r="AM64" s="11"/>
      <c r="AN64" s="11">
        <f t="shared" si="189"/>
        <v>0</v>
      </c>
      <c r="AO64" s="11"/>
      <c r="AP64" s="11">
        <f t="shared" si="190"/>
        <v>0</v>
      </c>
      <c r="AQ64" s="11"/>
      <c r="AR64" s="11">
        <f t="shared" si="191"/>
        <v>0</v>
      </c>
    </row>
    <row r="65" spans="1:44" s="311" customFormat="1">
      <c r="A65" s="282" t="s">
        <v>413</v>
      </c>
      <c r="B65" s="284" t="s">
        <v>118</v>
      </c>
      <c r="C65" s="309">
        <v>17</v>
      </c>
      <c r="D65" s="306" t="s">
        <v>412</v>
      </c>
      <c r="E65" s="282">
        <v>2017</v>
      </c>
      <c r="F65" s="284">
        <v>4</v>
      </c>
      <c r="G65" s="307">
        <v>0</v>
      </c>
      <c r="H65" s="286"/>
      <c r="I65" s="308" t="s">
        <v>86</v>
      </c>
      <c r="J65" s="284">
        <v>3</v>
      </c>
      <c r="K65" s="309">
        <f t="shared" si="192"/>
        <v>2020</v>
      </c>
      <c r="N65" s="321">
        <v>23393.360000000001</v>
      </c>
      <c r="O65" s="317"/>
      <c r="P65" s="286">
        <f t="shared" si="193"/>
        <v>23393.360000000001</v>
      </c>
      <c r="Q65" s="286">
        <f t="shared" si="194"/>
        <v>649.81555555555553</v>
      </c>
      <c r="R65" s="286">
        <f t="shared" si="195"/>
        <v>5848.34</v>
      </c>
      <c r="S65" s="286"/>
      <c r="T65" s="286">
        <f t="shared" si="196"/>
        <v>5848.34</v>
      </c>
      <c r="U65" s="286">
        <v>1</v>
      </c>
      <c r="V65" s="286">
        <f t="shared" si="197"/>
        <v>5848.34</v>
      </c>
      <c r="W65" s="286"/>
      <c r="X65" s="286">
        <f t="shared" si="198"/>
        <v>0</v>
      </c>
      <c r="Y65" s="286">
        <f t="shared" si="199"/>
        <v>0</v>
      </c>
      <c r="Z65" s="286">
        <v>1</v>
      </c>
      <c r="AA65" s="286">
        <f t="shared" si="200"/>
        <v>0</v>
      </c>
      <c r="AB65" s="286">
        <f t="shared" si="201"/>
        <v>5848.34</v>
      </c>
      <c r="AC65" s="286">
        <f t="shared" si="202"/>
        <v>8772.51</v>
      </c>
      <c r="AD65" s="286">
        <f t="shared" si="203"/>
        <v>2017.25</v>
      </c>
      <c r="AE65" s="286">
        <f t="shared" si="183"/>
        <v>2018</v>
      </c>
      <c r="AF65" s="286">
        <f t="shared" si="204"/>
        <v>2020.25</v>
      </c>
      <c r="AG65" s="286">
        <f t="shared" si="185"/>
        <v>2017</v>
      </c>
      <c r="AH65" s="286">
        <f t="shared" si="205"/>
        <v>-8.3333333333333329E-2</v>
      </c>
      <c r="AJ65" s="11">
        <f t="shared" si="187"/>
        <v>0</v>
      </c>
      <c r="AK65" s="11"/>
      <c r="AL65" s="11">
        <f t="shared" si="188"/>
        <v>5848.34</v>
      </c>
      <c r="AM65" s="11"/>
      <c r="AN65" s="11">
        <f t="shared" si="189"/>
        <v>0</v>
      </c>
      <c r="AO65" s="11"/>
      <c r="AP65" s="11">
        <f t="shared" si="190"/>
        <v>0</v>
      </c>
      <c r="AQ65" s="11"/>
      <c r="AR65" s="11">
        <f t="shared" si="191"/>
        <v>8772.51</v>
      </c>
    </row>
    <row r="66" spans="1:44" s="311" customFormat="1">
      <c r="A66" s="282" t="s">
        <v>414</v>
      </c>
      <c r="B66" s="284" t="s">
        <v>118</v>
      </c>
      <c r="C66" s="309">
        <v>17</v>
      </c>
      <c r="D66" s="306" t="s">
        <v>415</v>
      </c>
      <c r="E66" s="282">
        <v>2017</v>
      </c>
      <c r="F66" s="284">
        <v>4</v>
      </c>
      <c r="G66" s="307">
        <v>0</v>
      </c>
      <c r="H66" s="286"/>
      <c r="I66" s="308" t="s">
        <v>86</v>
      </c>
      <c r="J66" s="284">
        <v>3</v>
      </c>
      <c r="K66" s="309">
        <f t="shared" si="192"/>
        <v>2020</v>
      </c>
      <c r="N66" s="321">
        <v>2453.85</v>
      </c>
      <c r="O66" s="317"/>
      <c r="P66" s="286">
        <f t="shared" si="193"/>
        <v>2453.85</v>
      </c>
      <c r="Q66" s="286">
        <f t="shared" si="194"/>
        <v>68.162499999999994</v>
      </c>
      <c r="R66" s="286">
        <f t="shared" si="195"/>
        <v>613.46249999999998</v>
      </c>
      <c r="S66" s="286"/>
      <c r="T66" s="286">
        <f t="shared" si="196"/>
        <v>613.46249999999998</v>
      </c>
      <c r="U66" s="286">
        <v>1</v>
      </c>
      <c r="V66" s="286">
        <f t="shared" si="197"/>
        <v>613.46249999999998</v>
      </c>
      <c r="W66" s="286"/>
      <c r="X66" s="286">
        <f t="shared" si="198"/>
        <v>0</v>
      </c>
      <c r="Y66" s="286">
        <f t="shared" si="199"/>
        <v>0</v>
      </c>
      <c r="Z66" s="286">
        <v>1</v>
      </c>
      <c r="AA66" s="286">
        <f t="shared" si="200"/>
        <v>0</v>
      </c>
      <c r="AB66" s="286">
        <f t="shared" si="201"/>
        <v>613.46249999999998</v>
      </c>
      <c r="AC66" s="286">
        <f t="shared" si="202"/>
        <v>920.19374999999991</v>
      </c>
      <c r="AD66" s="286">
        <f t="shared" si="203"/>
        <v>2017.25</v>
      </c>
      <c r="AE66" s="286">
        <f t="shared" si="183"/>
        <v>2018</v>
      </c>
      <c r="AF66" s="286">
        <f t="shared" si="204"/>
        <v>2020.25</v>
      </c>
      <c r="AG66" s="286">
        <f t="shared" si="185"/>
        <v>2017</v>
      </c>
      <c r="AH66" s="286">
        <f t="shared" si="205"/>
        <v>-8.3333333333333329E-2</v>
      </c>
      <c r="AJ66" s="11">
        <f t="shared" si="187"/>
        <v>0</v>
      </c>
      <c r="AK66" s="11"/>
      <c r="AL66" s="11">
        <f t="shared" si="188"/>
        <v>613.46249999999998</v>
      </c>
      <c r="AM66" s="11"/>
      <c r="AN66" s="11">
        <f t="shared" si="189"/>
        <v>0</v>
      </c>
      <c r="AO66" s="11"/>
      <c r="AP66" s="11">
        <f t="shared" si="190"/>
        <v>0</v>
      </c>
      <c r="AQ66" s="11"/>
      <c r="AR66" s="11">
        <f t="shared" si="191"/>
        <v>920.19374999999991</v>
      </c>
    </row>
    <row r="68" spans="1:44" s="311" customFormat="1">
      <c r="A68" s="282"/>
      <c r="B68" s="284"/>
      <c r="C68" s="309"/>
      <c r="D68" s="306"/>
      <c r="E68" s="282"/>
      <c r="F68" s="284"/>
      <c r="G68" s="307"/>
      <c r="H68" s="286"/>
      <c r="I68" s="308"/>
      <c r="J68" s="284"/>
      <c r="K68" s="309"/>
      <c r="N68" s="321"/>
      <c r="O68" s="317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313"/>
      <c r="AD68" s="286"/>
      <c r="AE68" s="286"/>
      <c r="AF68" s="286"/>
      <c r="AG68" s="286"/>
      <c r="AH68" s="286"/>
      <c r="AJ68" s="9"/>
      <c r="AK68" s="9"/>
      <c r="AL68" s="9"/>
      <c r="AM68" s="9"/>
      <c r="AN68" s="9"/>
      <c r="AO68" s="9"/>
      <c r="AP68" s="9"/>
      <c r="AQ68" s="9"/>
      <c r="AR68" s="9"/>
    </row>
    <row r="69" spans="1:44">
      <c r="B69" s="284"/>
      <c r="C69" s="309"/>
      <c r="D69" s="306"/>
      <c r="G69" s="307"/>
      <c r="H69" s="286"/>
      <c r="I69" s="308"/>
      <c r="K69" s="309"/>
      <c r="N69" s="319">
        <f>+SUM(N62:N68)</f>
        <v>87602.680000000008</v>
      </c>
      <c r="O69" s="322"/>
      <c r="P69" s="319">
        <f>+SUM(P62:P68)</f>
        <v>79025.320000000007</v>
      </c>
      <c r="Q69" s="319">
        <f>+SUM(Q62:Q68)</f>
        <v>2001.6517777777776</v>
      </c>
      <c r="R69" s="319">
        <f>+SUM(R62:R68)</f>
        <v>6461.8024999999998</v>
      </c>
      <c r="S69" s="323"/>
      <c r="T69" s="319">
        <f>+SUM(T62:T68)</f>
        <v>6461.8024999999998</v>
      </c>
      <c r="U69" s="323"/>
      <c r="V69" s="319">
        <f>+SUM(V62:V68)</f>
        <v>6461.8024999999998</v>
      </c>
      <c r="W69" s="323"/>
      <c r="X69" s="319">
        <f t="shared" ref="X69:AC69" si="206">+SUM(X62:X68)</f>
        <v>53178.11</v>
      </c>
      <c r="Y69" s="319">
        <f t="shared" si="206"/>
        <v>53178.11</v>
      </c>
      <c r="Z69" s="319">
        <f t="shared" si="206"/>
        <v>5</v>
      </c>
      <c r="AA69" s="319">
        <f t="shared" si="206"/>
        <v>53178.11</v>
      </c>
      <c r="AB69" s="319">
        <f t="shared" si="206"/>
        <v>59639.912499999999</v>
      </c>
      <c r="AC69" s="319">
        <f t="shared" si="206"/>
        <v>18270.063750000001</v>
      </c>
      <c r="AD69" s="323"/>
      <c r="AE69" s="323"/>
      <c r="AF69" s="323"/>
      <c r="AG69" s="323"/>
      <c r="AH69" s="323"/>
      <c r="AJ69" s="8">
        <f t="shared" ref="AJ69" si="207">+SUM(AJ62:AJ68)</f>
        <v>2859.1200000000003</v>
      </c>
      <c r="AK69" s="8">
        <f t="shared" ref="AK69" si="208">+SUM(AK62:AK68)</f>
        <v>0</v>
      </c>
      <c r="AL69" s="8">
        <f t="shared" ref="AL69" si="209">+SUM(AL62:AL68)</f>
        <v>9320.9225000000006</v>
      </c>
      <c r="AM69" s="8">
        <f t="shared" ref="AM69" si="210">+SUM(AM62:AM68)</f>
        <v>0</v>
      </c>
      <c r="AN69" s="8">
        <f t="shared" ref="AN69" si="211">+SUM(AN62:AN68)</f>
        <v>-8577.36</v>
      </c>
      <c r="AO69" s="8">
        <f t="shared" ref="AO69" si="212">+SUM(AO62:AO68)</f>
        <v>0</v>
      </c>
      <c r="AP69" s="8">
        <f t="shared" ref="AP69" si="213">+SUM(AP62:AP68)</f>
        <v>0</v>
      </c>
      <c r="AQ69" s="8">
        <f t="shared" ref="AQ69" si="214">+SUM(AQ62:AQ68)</f>
        <v>0</v>
      </c>
      <c r="AR69" s="8">
        <f t="shared" ref="AR69" si="215">+SUM(AR62:AR68)</f>
        <v>9692.7037500000006</v>
      </c>
    </row>
    <row r="70" spans="1:44" s="311" customFormat="1">
      <c r="B70" s="291"/>
      <c r="C70" s="288"/>
      <c r="D70" s="306"/>
      <c r="E70" s="290"/>
      <c r="F70" s="312"/>
      <c r="G70" s="312"/>
      <c r="H70" s="313"/>
      <c r="I70" s="312"/>
      <c r="J70" s="291"/>
      <c r="K70" s="290"/>
      <c r="N70" s="288"/>
      <c r="O70" s="317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J70" s="9"/>
      <c r="AK70" s="9"/>
      <c r="AL70" s="9"/>
      <c r="AM70" s="9"/>
      <c r="AN70" s="9"/>
      <c r="AO70" s="9"/>
      <c r="AP70" s="9"/>
      <c r="AQ70" s="9"/>
      <c r="AR70" s="9"/>
    </row>
    <row r="71" spans="1:44" s="311" customFormat="1">
      <c r="B71" s="291"/>
      <c r="C71" s="288"/>
      <c r="D71" s="283" t="s">
        <v>120</v>
      </c>
      <c r="E71" s="290"/>
      <c r="F71" s="312"/>
      <c r="G71" s="312"/>
      <c r="H71" s="313"/>
      <c r="I71" s="312"/>
      <c r="J71" s="291"/>
      <c r="K71" s="290"/>
      <c r="N71" s="288"/>
      <c r="O71" s="317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J71" s="9"/>
      <c r="AK71" s="9"/>
      <c r="AL71" s="9"/>
      <c r="AM71" s="9"/>
      <c r="AN71" s="9"/>
      <c r="AO71" s="9"/>
      <c r="AP71" s="9"/>
      <c r="AQ71" s="9"/>
      <c r="AR71" s="9"/>
    </row>
    <row r="72" spans="1:44">
      <c r="B72" s="284" t="s">
        <v>121</v>
      </c>
      <c r="C72" s="282">
        <v>28</v>
      </c>
      <c r="D72" s="306" t="s">
        <v>122</v>
      </c>
      <c r="E72" s="282">
        <v>2009</v>
      </c>
      <c r="F72" s="284">
        <v>7</v>
      </c>
      <c r="G72" s="307">
        <v>0.2</v>
      </c>
      <c r="H72" s="286"/>
      <c r="I72" s="308" t="s">
        <v>86</v>
      </c>
      <c r="J72" s="284">
        <v>7</v>
      </c>
      <c r="K72" s="309">
        <f>E72+J72</f>
        <v>2016</v>
      </c>
      <c r="N72" s="285">
        <v>250755</v>
      </c>
      <c r="O72" s="310"/>
      <c r="P72" s="286">
        <f t="shared" ref="P72:P81" si="216">N72-N72*G72</f>
        <v>200604</v>
      </c>
      <c r="Q72" s="286">
        <f t="shared" ref="Q72:Q81" si="217">P72/J72/12</f>
        <v>2388.1428571428573</v>
      </c>
      <c r="R72" s="286">
        <f t="shared" ref="R72:R81" si="218">IF(O72&gt;0,0,IF(OR(AD72&gt;AE72,AF72&lt;AG72),0,IF(AND(AF72&gt;=AG72,AF72&lt;=AE72),Q72*((AF72-AG72)*12),IF(AND(AG72&lt;=AD72,AE72&gt;=AD72),((AE72-AD72)*12)*Q72,IF(AF72&gt;AE72,12*Q72,0)))))</f>
        <v>0</v>
      </c>
      <c r="S72" s="286"/>
      <c r="T72" s="286">
        <f t="shared" ref="T72:T81" si="219">IF(S72&gt;0,S72,R72)</f>
        <v>0</v>
      </c>
      <c r="U72" s="286">
        <v>1</v>
      </c>
      <c r="V72" s="286">
        <f t="shared" ref="V72:V81" si="220">U72*SUM(R72:S72)</f>
        <v>0</v>
      </c>
      <c r="W72" s="286"/>
      <c r="X72" s="286">
        <f t="shared" ref="X72:X81" si="221">IF(AD72&gt;AE72,0,IF(AF72&lt;AG72,P72,IF(AND(AF72&gt;=AG72,AF72&lt;=AE72),(P72-T72),IF(AND(AG72&lt;=AD72,AE72&gt;=AD72),0,IF(AF72&gt;AE72,((AG72-AD72)*12)*Q72,0)))))</f>
        <v>200604</v>
      </c>
      <c r="Y72" s="286">
        <f t="shared" ref="Y72:Y81" si="222">X72*U72</f>
        <v>200604</v>
      </c>
      <c r="Z72" s="286">
        <v>1</v>
      </c>
      <c r="AA72" s="286">
        <f t="shared" ref="AA72:AA81" si="223">Y72*Z72</f>
        <v>200604</v>
      </c>
      <c r="AB72" s="286">
        <f t="shared" ref="AB72:AB81" si="224">IF(O72&gt;0,0,AA72+V72*Z72)*Z72</f>
        <v>200604</v>
      </c>
      <c r="AC72" s="286">
        <f t="shared" ref="AC72:AC81" si="225">IF(O72&gt;0,(N72-AA72)/2,IF(AD72&gt;=AG72,(((N72*U72)*Z72)-AB72)/2,((((N72*U72)*Z72)-AA72)+(((N72*U72)*Z72)-AB72))/2))</f>
        <v>50151</v>
      </c>
      <c r="AD72" s="286">
        <f t="shared" ref="AD72:AD83" si="226">$E72+(($F72-1)/12)</f>
        <v>2009.5</v>
      </c>
      <c r="AE72" s="286">
        <f t="shared" ref="AE72:AE82" si="227">($P$5+1)-($P$2/12)</f>
        <v>2018</v>
      </c>
      <c r="AF72" s="286">
        <f t="shared" ref="AF72:AF83" si="228">$K72+(($F72-1)/12)</f>
        <v>2016.5</v>
      </c>
      <c r="AG72" s="286">
        <f t="shared" ref="AG72:AG82" si="229">$P$4+($P$3/12)</f>
        <v>2017</v>
      </c>
      <c r="AH72" s="286">
        <f t="shared" ref="AH72:AH83" si="230">$L72+(($M72-1)/12)</f>
        <v>-8.3333333333333329E-2</v>
      </c>
      <c r="AJ72" s="11">
        <f t="shared" ref="AJ72:AJ83" si="231">+IF((AF72-AG72)&gt;3,((N72-P72)/(AF72-AG72)),(N72-P72)/3)</f>
        <v>16717</v>
      </c>
      <c r="AL72" s="11">
        <f t="shared" ref="AL72:AL83" si="232">+AJ72+R72</f>
        <v>16717</v>
      </c>
      <c r="AN72" s="11">
        <f t="shared" ref="AN72:AN83" si="233">+IF(AF72&lt;AG72,-AC72,0)</f>
        <v>-50151</v>
      </c>
      <c r="AP72" s="11">
        <f t="shared" ref="AP72:AP83" si="234">+IF(AF72&gt;AG72,IF(AJ72&gt;0,IF(O72&gt;0,(N72-AA72)/2,IF(AD72&gt;=AG72,(((N72*U72)*Z72)-(AB72+AJ72))/2,((((N72*U72)*Z72)-AA72)+(((N72*U72)*Z72)-(AB72+AJ72)))/2)),0),0)</f>
        <v>0</v>
      </c>
      <c r="AR72" s="11">
        <f t="shared" ref="AR72:AR83" si="235">+AC72+AN72+(IF(AP72&gt;0,(AP72-AC72),0))</f>
        <v>0</v>
      </c>
    </row>
    <row r="73" spans="1:44">
      <c r="B73" s="284" t="s">
        <v>121</v>
      </c>
      <c r="C73" s="282">
        <v>29</v>
      </c>
      <c r="D73" s="306" t="s">
        <v>122</v>
      </c>
      <c r="E73" s="282">
        <v>2009</v>
      </c>
      <c r="F73" s="284">
        <v>7</v>
      </c>
      <c r="G73" s="307">
        <v>0.2</v>
      </c>
      <c r="H73" s="286"/>
      <c r="I73" s="308" t="s">
        <v>86</v>
      </c>
      <c r="J73" s="284">
        <v>7</v>
      </c>
      <c r="K73" s="309">
        <f t="shared" ref="K73:K81" si="236">E73+J73</f>
        <v>2016</v>
      </c>
      <c r="N73" s="285">
        <v>249777</v>
      </c>
      <c r="O73" s="310"/>
      <c r="P73" s="286">
        <f t="shared" si="216"/>
        <v>199821.6</v>
      </c>
      <c r="Q73" s="286">
        <f t="shared" si="217"/>
        <v>2378.8285714285716</v>
      </c>
      <c r="R73" s="286">
        <f t="shared" si="218"/>
        <v>0</v>
      </c>
      <c r="S73" s="286"/>
      <c r="T73" s="286">
        <f t="shared" si="219"/>
        <v>0</v>
      </c>
      <c r="U73" s="286">
        <v>1</v>
      </c>
      <c r="V73" s="286">
        <f t="shared" si="220"/>
        <v>0</v>
      </c>
      <c r="W73" s="286"/>
      <c r="X73" s="286">
        <f t="shared" si="221"/>
        <v>199821.6</v>
      </c>
      <c r="Y73" s="286">
        <f t="shared" si="222"/>
        <v>199821.6</v>
      </c>
      <c r="Z73" s="286">
        <v>1</v>
      </c>
      <c r="AA73" s="286">
        <f t="shared" si="223"/>
        <v>199821.6</v>
      </c>
      <c r="AB73" s="286">
        <f t="shared" si="224"/>
        <v>199821.6</v>
      </c>
      <c r="AC73" s="286">
        <f t="shared" si="225"/>
        <v>49955.399999999994</v>
      </c>
      <c r="AD73" s="286">
        <f t="shared" si="226"/>
        <v>2009.5</v>
      </c>
      <c r="AE73" s="286">
        <f t="shared" si="227"/>
        <v>2018</v>
      </c>
      <c r="AF73" s="286">
        <f t="shared" si="228"/>
        <v>2016.5</v>
      </c>
      <c r="AG73" s="286">
        <f t="shared" si="229"/>
        <v>2017</v>
      </c>
      <c r="AH73" s="286">
        <f t="shared" si="230"/>
        <v>-8.3333333333333329E-2</v>
      </c>
      <c r="AJ73" s="11">
        <f t="shared" si="231"/>
        <v>16651.8</v>
      </c>
      <c r="AL73" s="11">
        <f t="shared" si="232"/>
        <v>16651.8</v>
      </c>
      <c r="AN73" s="11">
        <f t="shared" si="233"/>
        <v>-49955.399999999994</v>
      </c>
      <c r="AP73" s="11">
        <f t="shared" si="234"/>
        <v>0</v>
      </c>
      <c r="AR73" s="11">
        <f t="shared" si="235"/>
        <v>0</v>
      </c>
    </row>
    <row r="74" spans="1:44">
      <c r="B74" s="284" t="s">
        <v>121</v>
      </c>
      <c r="C74" s="282">
        <v>27</v>
      </c>
      <c r="D74" s="306" t="s">
        <v>123</v>
      </c>
      <c r="E74" s="282">
        <v>2009</v>
      </c>
      <c r="F74" s="284">
        <v>7</v>
      </c>
      <c r="G74" s="307">
        <v>0.2</v>
      </c>
      <c r="H74" s="286"/>
      <c r="I74" s="308" t="s">
        <v>86</v>
      </c>
      <c r="J74" s="284">
        <v>7</v>
      </c>
      <c r="K74" s="309">
        <f t="shared" si="236"/>
        <v>2016</v>
      </c>
      <c r="N74" s="285">
        <v>235798</v>
      </c>
      <c r="O74" s="310"/>
      <c r="P74" s="286">
        <f t="shared" si="216"/>
        <v>188638.4</v>
      </c>
      <c r="Q74" s="286">
        <f t="shared" si="217"/>
        <v>2245.695238095238</v>
      </c>
      <c r="R74" s="286">
        <f t="shared" si="218"/>
        <v>0</v>
      </c>
      <c r="S74" s="286"/>
      <c r="T74" s="286">
        <f t="shared" si="219"/>
        <v>0</v>
      </c>
      <c r="U74" s="286">
        <v>1</v>
      </c>
      <c r="V74" s="286">
        <f t="shared" si="220"/>
        <v>0</v>
      </c>
      <c r="W74" s="286"/>
      <c r="X74" s="286">
        <f t="shared" si="221"/>
        <v>188638.4</v>
      </c>
      <c r="Y74" s="286">
        <f t="shared" si="222"/>
        <v>188638.4</v>
      </c>
      <c r="Z74" s="286">
        <v>1</v>
      </c>
      <c r="AA74" s="286">
        <f t="shared" si="223"/>
        <v>188638.4</v>
      </c>
      <c r="AB74" s="286">
        <f t="shared" si="224"/>
        <v>188638.4</v>
      </c>
      <c r="AC74" s="286">
        <f t="shared" si="225"/>
        <v>47159.600000000006</v>
      </c>
      <c r="AD74" s="286">
        <f t="shared" si="226"/>
        <v>2009.5</v>
      </c>
      <c r="AE74" s="286">
        <f t="shared" si="227"/>
        <v>2018</v>
      </c>
      <c r="AF74" s="286">
        <f t="shared" si="228"/>
        <v>2016.5</v>
      </c>
      <c r="AG74" s="286">
        <f t="shared" si="229"/>
        <v>2017</v>
      </c>
      <c r="AH74" s="286">
        <f t="shared" si="230"/>
        <v>-8.3333333333333329E-2</v>
      </c>
      <c r="AJ74" s="11">
        <f t="shared" si="231"/>
        <v>15719.866666666669</v>
      </c>
      <c r="AL74" s="11">
        <f t="shared" si="232"/>
        <v>15719.866666666669</v>
      </c>
      <c r="AN74" s="11">
        <f t="shared" si="233"/>
        <v>-47159.600000000006</v>
      </c>
      <c r="AP74" s="11">
        <f t="shared" si="234"/>
        <v>0</v>
      </c>
      <c r="AR74" s="11">
        <f t="shared" si="235"/>
        <v>0</v>
      </c>
    </row>
    <row r="75" spans="1:44">
      <c r="B75" s="284"/>
      <c r="C75" s="324" t="s">
        <v>124</v>
      </c>
      <c r="D75" s="306" t="s">
        <v>125</v>
      </c>
      <c r="E75" s="282">
        <v>2009</v>
      </c>
      <c r="F75" s="284">
        <v>7</v>
      </c>
      <c r="G75" s="307">
        <v>0.2</v>
      </c>
      <c r="H75" s="286"/>
      <c r="I75" s="308" t="s">
        <v>86</v>
      </c>
      <c r="J75" s="284">
        <v>7</v>
      </c>
      <c r="K75" s="309">
        <f t="shared" si="236"/>
        <v>2016</v>
      </c>
      <c r="N75" s="285">
        <v>21561</v>
      </c>
      <c r="O75" s="310"/>
      <c r="P75" s="286">
        <f t="shared" si="216"/>
        <v>17248.8</v>
      </c>
      <c r="Q75" s="286">
        <f t="shared" si="217"/>
        <v>205.34285714285713</v>
      </c>
      <c r="R75" s="286">
        <f t="shared" si="218"/>
        <v>0</v>
      </c>
      <c r="S75" s="286"/>
      <c r="T75" s="286">
        <f t="shared" si="219"/>
        <v>0</v>
      </c>
      <c r="U75" s="286">
        <v>1</v>
      </c>
      <c r="V75" s="286">
        <f t="shared" si="220"/>
        <v>0</v>
      </c>
      <c r="W75" s="286"/>
      <c r="X75" s="286">
        <f t="shared" si="221"/>
        <v>17248.8</v>
      </c>
      <c r="Y75" s="286">
        <f t="shared" si="222"/>
        <v>17248.8</v>
      </c>
      <c r="Z75" s="286">
        <v>1</v>
      </c>
      <c r="AA75" s="286">
        <f t="shared" si="223"/>
        <v>17248.8</v>
      </c>
      <c r="AB75" s="286">
        <f t="shared" si="224"/>
        <v>17248.8</v>
      </c>
      <c r="AC75" s="286">
        <f t="shared" si="225"/>
        <v>4312.2000000000007</v>
      </c>
      <c r="AD75" s="286">
        <f t="shared" si="226"/>
        <v>2009.5</v>
      </c>
      <c r="AE75" s="286">
        <f t="shared" si="227"/>
        <v>2018</v>
      </c>
      <c r="AF75" s="286">
        <f t="shared" si="228"/>
        <v>2016.5</v>
      </c>
      <c r="AG75" s="286">
        <f t="shared" si="229"/>
        <v>2017</v>
      </c>
      <c r="AH75" s="286">
        <f t="shared" si="230"/>
        <v>-8.3333333333333329E-2</v>
      </c>
      <c r="AJ75" s="11">
        <f t="shared" si="231"/>
        <v>1437.4000000000003</v>
      </c>
      <c r="AL75" s="11">
        <f t="shared" si="232"/>
        <v>1437.4000000000003</v>
      </c>
      <c r="AN75" s="11">
        <f t="shared" si="233"/>
        <v>-4312.2000000000007</v>
      </c>
      <c r="AP75" s="11">
        <f t="shared" si="234"/>
        <v>0</v>
      </c>
      <c r="AR75" s="11">
        <f t="shared" si="235"/>
        <v>0</v>
      </c>
    </row>
    <row r="76" spans="1:44">
      <c r="B76" s="284"/>
      <c r="C76" s="282">
        <v>8008</v>
      </c>
      <c r="D76" s="306" t="s">
        <v>126</v>
      </c>
      <c r="E76" s="282">
        <v>2009</v>
      </c>
      <c r="F76" s="284">
        <v>7</v>
      </c>
      <c r="G76" s="307">
        <v>0.2</v>
      </c>
      <c r="H76" s="286"/>
      <c r="I76" s="308" t="s">
        <v>86</v>
      </c>
      <c r="J76" s="284">
        <v>7</v>
      </c>
      <c r="K76" s="309">
        <f t="shared" si="236"/>
        <v>2016</v>
      </c>
      <c r="N76" s="285">
        <v>6959</v>
      </c>
      <c r="O76" s="310"/>
      <c r="P76" s="286">
        <f t="shared" si="216"/>
        <v>5567.2</v>
      </c>
      <c r="Q76" s="286">
        <f t="shared" si="217"/>
        <v>66.276190476190479</v>
      </c>
      <c r="R76" s="286">
        <f t="shared" si="218"/>
        <v>0</v>
      </c>
      <c r="S76" s="286"/>
      <c r="T76" s="286">
        <f t="shared" si="219"/>
        <v>0</v>
      </c>
      <c r="U76" s="286">
        <v>1</v>
      </c>
      <c r="V76" s="286">
        <f t="shared" si="220"/>
        <v>0</v>
      </c>
      <c r="W76" s="286"/>
      <c r="X76" s="286">
        <f t="shared" si="221"/>
        <v>5567.2</v>
      </c>
      <c r="Y76" s="286">
        <f t="shared" si="222"/>
        <v>5567.2</v>
      </c>
      <c r="Z76" s="286">
        <v>1</v>
      </c>
      <c r="AA76" s="286">
        <f t="shared" si="223"/>
        <v>5567.2</v>
      </c>
      <c r="AB76" s="286">
        <f t="shared" si="224"/>
        <v>5567.2</v>
      </c>
      <c r="AC76" s="286">
        <f t="shared" si="225"/>
        <v>1391.8000000000002</v>
      </c>
      <c r="AD76" s="286">
        <f t="shared" si="226"/>
        <v>2009.5</v>
      </c>
      <c r="AE76" s="286">
        <f t="shared" si="227"/>
        <v>2018</v>
      </c>
      <c r="AF76" s="286">
        <f t="shared" si="228"/>
        <v>2016.5</v>
      </c>
      <c r="AG76" s="286">
        <f t="shared" si="229"/>
        <v>2017</v>
      </c>
      <c r="AH76" s="286">
        <f t="shared" si="230"/>
        <v>-8.3333333333333329E-2</v>
      </c>
      <c r="AJ76" s="11">
        <f t="shared" si="231"/>
        <v>463.93333333333339</v>
      </c>
      <c r="AL76" s="11">
        <f t="shared" si="232"/>
        <v>463.93333333333339</v>
      </c>
      <c r="AN76" s="11">
        <f t="shared" si="233"/>
        <v>-1391.8000000000002</v>
      </c>
      <c r="AP76" s="11">
        <f t="shared" si="234"/>
        <v>0</v>
      </c>
      <c r="AR76" s="11">
        <f t="shared" si="235"/>
        <v>0</v>
      </c>
    </row>
    <row r="77" spans="1:44">
      <c r="B77" s="284" t="s">
        <v>127</v>
      </c>
      <c r="C77" s="309">
        <v>8010</v>
      </c>
      <c r="D77" s="306" t="s">
        <v>128</v>
      </c>
      <c r="E77" s="282">
        <v>2009</v>
      </c>
      <c r="F77" s="284">
        <v>7</v>
      </c>
      <c r="G77" s="307">
        <v>0.2</v>
      </c>
      <c r="H77" s="286"/>
      <c r="I77" s="308" t="s">
        <v>86</v>
      </c>
      <c r="J77" s="284">
        <v>7</v>
      </c>
      <c r="K77" s="309">
        <f t="shared" si="236"/>
        <v>2016</v>
      </c>
      <c r="N77" s="285">
        <v>72932</v>
      </c>
      <c r="O77" s="310"/>
      <c r="P77" s="286">
        <f t="shared" si="216"/>
        <v>58345.599999999999</v>
      </c>
      <c r="Q77" s="286">
        <f t="shared" si="217"/>
        <v>694.59047619047624</v>
      </c>
      <c r="R77" s="286">
        <f t="shared" si="218"/>
        <v>0</v>
      </c>
      <c r="S77" s="286"/>
      <c r="T77" s="286">
        <f t="shared" si="219"/>
        <v>0</v>
      </c>
      <c r="U77" s="286">
        <v>1</v>
      </c>
      <c r="V77" s="286">
        <f t="shared" si="220"/>
        <v>0</v>
      </c>
      <c r="W77" s="286"/>
      <c r="X77" s="286">
        <f t="shared" si="221"/>
        <v>58345.599999999999</v>
      </c>
      <c r="Y77" s="286">
        <f t="shared" si="222"/>
        <v>58345.599999999999</v>
      </c>
      <c r="Z77" s="286">
        <v>1</v>
      </c>
      <c r="AA77" s="286">
        <f t="shared" si="223"/>
        <v>58345.599999999999</v>
      </c>
      <c r="AB77" s="286">
        <f t="shared" si="224"/>
        <v>58345.599999999999</v>
      </c>
      <c r="AC77" s="286">
        <f t="shared" si="225"/>
        <v>14586.400000000001</v>
      </c>
      <c r="AD77" s="286">
        <f t="shared" si="226"/>
        <v>2009.5</v>
      </c>
      <c r="AE77" s="286">
        <f t="shared" si="227"/>
        <v>2018</v>
      </c>
      <c r="AF77" s="286">
        <f t="shared" si="228"/>
        <v>2016.5</v>
      </c>
      <c r="AG77" s="286">
        <f t="shared" si="229"/>
        <v>2017</v>
      </c>
      <c r="AH77" s="286">
        <f t="shared" si="230"/>
        <v>-8.3333333333333329E-2</v>
      </c>
      <c r="AJ77" s="11">
        <f t="shared" si="231"/>
        <v>4862.1333333333341</v>
      </c>
      <c r="AL77" s="11">
        <f t="shared" si="232"/>
        <v>4862.1333333333341</v>
      </c>
      <c r="AN77" s="11">
        <f t="shared" si="233"/>
        <v>-14586.400000000001</v>
      </c>
      <c r="AP77" s="11">
        <f t="shared" si="234"/>
        <v>0</v>
      </c>
      <c r="AR77" s="11">
        <f t="shared" si="235"/>
        <v>0</v>
      </c>
    </row>
    <row r="78" spans="1:44">
      <c r="B78" s="284" t="s">
        <v>2</v>
      </c>
      <c r="C78" s="309">
        <v>4</v>
      </c>
      <c r="D78" s="306" t="s">
        <v>129</v>
      </c>
      <c r="E78" s="282">
        <v>2010</v>
      </c>
      <c r="F78" s="284">
        <v>3</v>
      </c>
      <c r="G78" s="307">
        <v>0.2</v>
      </c>
      <c r="H78" s="286"/>
      <c r="I78" s="308" t="s">
        <v>86</v>
      </c>
      <c r="J78" s="284">
        <v>7</v>
      </c>
      <c r="K78" s="309">
        <f t="shared" si="236"/>
        <v>2017</v>
      </c>
      <c r="N78" s="285">
        <f>776.09*4</f>
        <v>3104.36</v>
      </c>
      <c r="O78" s="310"/>
      <c r="P78" s="286">
        <f t="shared" si="216"/>
        <v>2483.4880000000003</v>
      </c>
      <c r="Q78" s="286">
        <f t="shared" si="217"/>
        <v>29.565333333333339</v>
      </c>
      <c r="R78" s="286">
        <f t="shared" si="218"/>
        <v>59.130666666693564</v>
      </c>
      <c r="S78" s="286"/>
      <c r="T78" s="286">
        <f t="shared" si="219"/>
        <v>59.130666666693564</v>
      </c>
      <c r="U78" s="286">
        <v>1</v>
      </c>
      <c r="V78" s="286">
        <f t="shared" si="220"/>
        <v>59.130666666693564</v>
      </c>
      <c r="W78" s="286"/>
      <c r="X78" s="286">
        <f t="shared" si="221"/>
        <v>2424.3573333333065</v>
      </c>
      <c r="Y78" s="286">
        <f t="shared" si="222"/>
        <v>2424.3573333333065</v>
      </c>
      <c r="Z78" s="286">
        <v>1</v>
      </c>
      <c r="AA78" s="286">
        <f t="shared" si="223"/>
        <v>2424.3573333333065</v>
      </c>
      <c r="AB78" s="286">
        <f t="shared" si="224"/>
        <v>2483.4880000000003</v>
      </c>
      <c r="AC78" s="286">
        <f t="shared" si="225"/>
        <v>650.43733333334671</v>
      </c>
      <c r="AD78" s="286">
        <f t="shared" si="226"/>
        <v>2010.1666666666667</v>
      </c>
      <c r="AE78" s="286">
        <f t="shared" si="227"/>
        <v>2018</v>
      </c>
      <c r="AF78" s="286">
        <f t="shared" si="228"/>
        <v>2017.1666666666667</v>
      </c>
      <c r="AG78" s="286">
        <f t="shared" si="229"/>
        <v>2017</v>
      </c>
      <c r="AH78" s="286">
        <f t="shared" si="230"/>
        <v>-8.3333333333333329E-2</v>
      </c>
      <c r="AJ78" s="11">
        <f t="shared" si="231"/>
        <v>206.95733333333328</v>
      </c>
      <c r="AL78" s="11">
        <f t="shared" si="232"/>
        <v>266.08800000002685</v>
      </c>
      <c r="AN78" s="11">
        <f t="shared" si="233"/>
        <v>0</v>
      </c>
      <c r="AP78" s="11">
        <f t="shared" si="234"/>
        <v>546.95866666668007</v>
      </c>
      <c r="AR78" s="11">
        <f t="shared" si="235"/>
        <v>546.95866666668007</v>
      </c>
    </row>
    <row r="79" spans="1:44">
      <c r="A79" s="282">
        <v>95491</v>
      </c>
      <c r="B79" s="284" t="s">
        <v>2</v>
      </c>
      <c r="C79" s="309" t="s">
        <v>124</v>
      </c>
      <c r="D79" s="306" t="s">
        <v>107</v>
      </c>
      <c r="E79" s="282">
        <v>2012</v>
      </c>
      <c r="F79" s="284">
        <v>7</v>
      </c>
      <c r="G79" s="307">
        <v>0.2</v>
      </c>
      <c r="H79" s="286"/>
      <c r="I79" s="308" t="s">
        <v>86</v>
      </c>
      <c r="J79" s="284">
        <v>7</v>
      </c>
      <c r="K79" s="309">
        <f t="shared" si="236"/>
        <v>2019</v>
      </c>
      <c r="N79" s="285">
        <f>595</f>
        <v>595</v>
      </c>
      <c r="O79" s="310"/>
      <c r="P79" s="286">
        <f t="shared" si="216"/>
        <v>476</v>
      </c>
      <c r="Q79" s="286">
        <f t="shared" si="217"/>
        <v>5.666666666666667</v>
      </c>
      <c r="R79" s="286">
        <f t="shared" si="218"/>
        <v>68</v>
      </c>
      <c r="S79" s="286"/>
      <c r="T79" s="286">
        <f t="shared" si="219"/>
        <v>68</v>
      </c>
      <c r="U79" s="286">
        <v>1</v>
      </c>
      <c r="V79" s="286">
        <f t="shared" si="220"/>
        <v>68</v>
      </c>
      <c r="W79" s="286"/>
      <c r="X79" s="286">
        <f t="shared" si="221"/>
        <v>306</v>
      </c>
      <c r="Y79" s="286">
        <f t="shared" si="222"/>
        <v>306</v>
      </c>
      <c r="Z79" s="286">
        <v>1</v>
      </c>
      <c r="AA79" s="286">
        <f t="shared" si="223"/>
        <v>306</v>
      </c>
      <c r="AB79" s="286">
        <f t="shared" si="224"/>
        <v>374</v>
      </c>
      <c r="AC79" s="286">
        <f t="shared" si="225"/>
        <v>255</v>
      </c>
      <c r="AD79" s="286">
        <f t="shared" si="226"/>
        <v>2012.5</v>
      </c>
      <c r="AE79" s="286">
        <f t="shared" si="227"/>
        <v>2018</v>
      </c>
      <c r="AF79" s="286">
        <f t="shared" si="228"/>
        <v>2019.5</v>
      </c>
      <c r="AG79" s="286">
        <f t="shared" si="229"/>
        <v>2017</v>
      </c>
      <c r="AH79" s="286">
        <f t="shared" si="230"/>
        <v>-8.3333333333333329E-2</v>
      </c>
      <c r="AJ79" s="11">
        <f t="shared" si="231"/>
        <v>39.666666666666664</v>
      </c>
      <c r="AL79" s="11">
        <f t="shared" si="232"/>
        <v>107.66666666666666</v>
      </c>
      <c r="AN79" s="11">
        <f t="shared" si="233"/>
        <v>0</v>
      </c>
      <c r="AP79" s="11">
        <f t="shared" si="234"/>
        <v>235.16666666666666</v>
      </c>
      <c r="AR79" s="11">
        <f t="shared" si="235"/>
        <v>235.16666666666666</v>
      </c>
    </row>
    <row r="80" spans="1:44">
      <c r="A80" s="282">
        <v>131544</v>
      </c>
      <c r="B80" s="284"/>
      <c r="C80" s="309"/>
      <c r="D80" s="306" t="s">
        <v>339</v>
      </c>
      <c r="E80" s="282">
        <v>2016</v>
      </c>
      <c r="F80" s="284">
        <v>3</v>
      </c>
      <c r="G80" s="307">
        <v>0</v>
      </c>
      <c r="H80" s="286"/>
      <c r="I80" s="308" t="s">
        <v>86</v>
      </c>
      <c r="J80" s="284">
        <v>1</v>
      </c>
      <c r="K80" s="309">
        <f t="shared" si="236"/>
        <v>2017</v>
      </c>
      <c r="N80" s="285">
        <f>5975.04/24*3</f>
        <v>746.88</v>
      </c>
      <c r="O80" s="310"/>
      <c r="P80" s="286">
        <f t="shared" si="216"/>
        <v>746.88</v>
      </c>
      <c r="Q80" s="286">
        <f t="shared" si="217"/>
        <v>62.24</v>
      </c>
      <c r="R80" s="286">
        <f t="shared" si="218"/>
        <v>124.48000000005661</v>
      </c>
      <c r="S80" s="286"/>
      <c r="T80" s="286">
        <f t="shared" si="219"/>
        <v>124.48000000005661</v>
      </c>
      <c r="U80" s="286">
        <v>1</v>
      </c>
      <c r="V80" s="286">
        <f t="shared" si="220"/>
        <v>124.48000000005661</v>
      </c>
      <c r="W80" s="286"/>
      <c r="X80" s="286">
        <f t="shared" si="221"/>
        <v>622.39999999994336</v>
      </c>
      <c r="Y80" s="286">
        <f t="shared" si="222"/>
        <v>622.39999999994336</v>
      </c>
      <c r="Z80" s="286">
        <v>1</v>
      </c>
      <c r="AA80" s="286">
        <f t="shared" si="223"/>
        <v>622.39999999994336</v>
      </c>
      <c r="AB80" s="286">
        <f t="shared" si="224"/>
        <v>746.88</v>
      </c>
      <c r="AC80" s="286">
        <f t="shared" si="225"/>
        <v>62.240000000028317</v>
      </c>
      <c r="AD80" s="286">
        <f t="shared" si="226"/>
        <v>2016.1666666666667</v>
      </c>
      <c r="AE80" s="286">
        <f t="shared" si="227"/>
        <v>2018</v>
      </c>
      <c r="AF80" s="286">
        <f t="shared" si="228"/>
        <v>2017.1666666666667</v>
      </c>
      <c r="AG80" s="286">
        <f t="shared" si="229"/>
        <v>2017</v>
      </c>
      <c r="AH80" s="286">
        <f t="shared" si="230"/>
        <v>-8.3333333333333329E-2</v>
      </c>
      <c r="AJ80" s="11">
        <f t="shared" si="231"/>
        <v>0</v>
      </c>
      <c r="AL80" s="11">
        <f t="shared" si="232"/>
        <v>124.48000000005661</v>
      </c>
      <c r="AN80" s="11">
        <f t="shared" si="233"/>
        <v>0</v>
      </c>
      <c r="AP80" s="11">
        <f t="shared" si="234"/>
        <v>0</v>
      </c>
      <c r="AR80" s="11">
        <f t="shared" si="235"/>
        <v>62.240000000028317</v>
      </c>
    </row>
    <row r="81" spans="1:76">
      <c r="A81" s="282">
        <v>165805</v>
      </c>
      <c r="B81" s="284"/>
      <c r="C81" s="309"/>
      <c r="D81" s="306" t="s">
        <v>346</v>
      </c>
      <c r="E81" s="282">
        <v>2016</v>
      </c>
      <c r="F81" s="284">
        <v>6</v>
      </c>
      <c r="G81" s="307">
        <v>0</v>
      </c>
      <c r="H81" s="286"/>
      <c r="I81" s="308" t="s">
        <v>86</v>
      </c>
      <c r="J81" s="284">
        <v>1</v>
      </c>
      <c r="K81" s="309">
        <f t="shared" si="236"/>
        <v>2017</v>
      </c>
      <c r="N81" s="285">
        <f>6255.46/30*3</f>
        <v>625.54600000000005</v>
      </c>
      <c r="O81" s="310"/>
      <c r="P81" s="286">
        <f t="shared" si="216"/>
        <v>625.54600000000005</v>
      </c>
      <c r="Q81" s="286">
        <f t="shared" si="217"/>
        <v>52.12883333333334</v>
      </c>
      <c r="R81" s="286">
        <f t="shared" si="218"/>
        <v>260.64416666671411</v>
      </c>
      <c r="S81" s="286"/>
      <c r="T81" s="286">
        <f t="shared" si="219"/>
        <v>260.64416666671411</v>
      </c>
      <c r="U81" s="286">
        <v>1</v>
      </c>
      <c r="V81" s="286">
        <f t="shared" si="220"/>
        <v>260.64416666671411</v>
      </c>
      <c r="W81" s="286"/>
      <c r="X81" s="286">
        <f t="shared" si="221"/>
        <v>364.90183333328594</v>
      </c>
      <c r="Y81" s="286">
        <f t="shared" si="222"/>
        <v>364.90183333328594</v>
      </c>
      <c r="Z81" s="286">
        <v>1</v>
      </c>
      <c r="AA81" s="286">
        <f t="shared" si="223"/>
        <v>364.90183333328594</v>
      </c>
      <c r="AB81" s="286">
        <f t="shared" si="224"/>
        <v>625.54600000000005</v>
      </c>
      <c r="AC81" s="286">
        <f t="shared" si="225"/>
        <v>130.32208333335706</v>
      </c>
      <c r="AD81" s="286">
        <f t="shared" si="226"/>
        <v>2016.4166666666667</v>
      </c>
      <c r="AE81" s="286">
        <f t="shared" si="227"/>
        <v>2018</v>
      </c>
      <c r="AF81" s="286">
        <f t="shared" si="228"/>
        <v>2017.4166666666667</v>
      </c>
      <c r="AG81" s="286">
        <f t="shared" si="229"/>
        <v>2017</v>
      </c>
      <c r="AH81" s="286">
        <f t="shared" si="230"/>
        <v>-8.3333333333333329E-2</v>
      </c>
      <c r="AJ81" s="11">
        <f t="shared" si="231"/>
        <v>0</v>
      </c>
      <c r="AL81" s="11">
        <f t="shared" si="232"/>
        <v>260.64416666671411</v>
      </c>
      <c r="AN81" s="11">
        <f t="shared" si="233"/>
        <v>0</v>
      </c>
      <c r="AP81" s="11">
        <f t="shared" si="234"/>
        <v>0</v>
      </c>
      <c r="AR81" s="11">
        <f t="shared" si="235"/>
        <v>130.32208333335706</v>
      </c>
    </row>
    <row r="82" spans="1:76">
      <c r="A82" s="282">
        <v>169240</v>
      </c>
      <c r="B82" s="284" t="s">
        <v>127</v>
      </c>
      <c r="C82" s="309"/>
      <c r="D82" s="306" t="s">
        <v>357</v>
      </c>
      <c r="E82" s="282">
        <v>2016</v>
      </c>
      <c r="F82" s="284">
        <v>10</v>
      </c>
      <c r="G82" s="307">
        <v>0</v>
      </c>
      <c r="H82" s="286"/>
      <c r="I82" s="308" t="s">
        <v>86</v>
      </c>
      <c r="J82" s="284">
        <v>5</v>
      </c>
      <c r="K82" s="309">
        <f t="shared" ref="K82:K83" si="237">E82+J82</f>
        <v>2021</v>
      </c>
      <c r="M82" s="282">
        <v>45489</v>
      </c>
      <c r="N82" s="285">
        <v>45489</v>
      </c>
      <c r="O82" s="310"/>
      <c r="P82" s="286">
        <f t="shared" ref="P82:P83" si="238">N82-N82*G82</f>
        <v>45489</v>
      </c>
      <c r="Q82" s="286">
        <f t="shared" ref="Q82:Q83" si="239">P82/J82/12</f>
        <v>758.15</v>
      </c>
      <c r="R82" s="286">
        <f t="shared" ref="R82:R83" si="240">IF(O82&gt;0,0,IF(OR(AD82&gt;AE82,AF82&lt;AG82),0,IF(AND(AF82&gt;=AG82,AF82&lt;=AE82),Q82*((AF82-AG82)*12),IF(AND(AG82&lt;=AD82,AE82&gt;=AD82),((AE82-AD82)*12)*Q82,IF(AF82&gt;AE82,12*Q82,0)))))</f>
        <v>9097.7999999999993</v>
      </c>
      <c r="S82" s="286"/>
      <c r="T82" s="286">
        <f t="shared" ref="T82:T83" si="241">IF(S82&gt;0,S82,R82)</f>
        <v>9097.7999999999993</v>
      </c>
      <c r="U82" s="286">
        <v>1</v>
      </c>
      <c r="V82" s="286">
        <f t="shared" ref="V82:V83" si="242">U82*SUM(R82:S82)</f>
        <v>9097.7999999999993</v>
      </c>
      <c r="W82" s="286"/>
      <c r="X82" s="286">
        <f t="shared" ref="X82:X83" si="243">IF(AD82&gt;AE82,0,IF(AF82&lt;AG82,P82,IF(AND(AF82&gt;=AG82,AF82&lt;=AE82),(P82-T82),IF(AND(AG82&lt;=AD82,AE82&gt;=AD82),0,IF(AF82&gt;AE82,((AG82-AD82)*12)*Q82,0)))))</f>
        <v>2274.4499999999998</v>
      </c>
      <c r="Y82" s="286">
        <f t="shared" ref="Y82:Y83" si="244">X82*U82</f>
        <v>2274.4499999999998</v>
      </c>
      <c r="Z82" s="286">
        <v>1</v>
      </c>
      <c r="AA82" s="286">
        <f t="shared" ref="AA82:AA83" si="245">Y82*Z82</f>
        <v>2274.4499999999998</v>
      </c>
      <c r="AB82" s="286">
        <f t="shared" ref="AB82:AB83" si="246">IF(O82&gt;0,0,AA82+V82*Z82)*Z82</f>
        <v>11372.25</v>
      </c>
      <c r="AC82" s="286">
        <f t="shared" ref="AC82:AC83" si="247">IF(O82&gt;0,(N82-AA82)/2,IF(AD82&gt;=AG82,(((N82*U82)*Z82)-AB82)/2,((((N82*U82)*Z82)-AA82)+(((N82*U82)*Z82)-AB82))/2))</f>
        <v>38665.65</v>
      </c>
      <c r="AD82" s="286">
        <f t="shared" si="226"/>
        <v>2016.75</v>
      </c>
      <c r="AE82" s="286">
        <f t="shared" si="227"/>
        <v>2018</v>
      </c>
      <c r="AF82" s="286">
        <f t="shared" si="228"/>
        <v>2021.75</v>
      </c>
      <c r="AG82" s="286">
        <f t="shared" si="229"/>
        <v>2017</v>
      </c>
      <c r="AH82" s="286">
        <f t="shared" si="230"/>
        <v>3790.6666666666665</v>
      </c>
      <c r="AJ82" s="11">
        <f t="shared" si="231"/>
        <v>0</v>
      </c>
      <c r="AL82" s="11">
        <f t="shared" si="232"/>
        <v>9097.7999999999993</v>
      </c>
      <c r="AN82" s="11">
        <f t="shared" si="233"/>
        <v>0</v>
      </c>
      <c r="AP82" s="11">
        <f t="shared" si="234"/>
        <v>0</v>
      </c>
      <c r="AR82" s="11">
        <f t="shared" si="235"/>
        <v>38665.65</v>
      </c>
    </row>
    <row r="83" spans="1:76">
      <c r="A83" s="282">
        <v>171078</v>
      </c>
      <c r="B83" s="284"/>
      <c r="C83" s="309"/>
      <c r="D83" s="306" t="s">
        <v>356</v>
      </c>
      <c r="E83" s="282">
        <v>2016</v>
      </c>
      <c r="F83" s="284">
        <v>12</v>
      </c>
      <c r="G83" s="307">
        <v>0</v>
      </c>
      <c r="H83" s="286"/>
      <c r="I83" s="308" t="s">
        <v>86</v>
      </c>
      <c r="J83" s="284">
        <v>5</v>
      </c>
      <c r="K83" s="309">
        <f t="shared" si="237"/>
        <v>2021</v>
      </c>
      <c r="N83" s="285">
        <f>22670.1/26*4</f>
        <v>3487.707692307692</v>
      </c>
      <c r="O83" s="310"/>
      <c r="P83" s="286">
        <f t="shared" si="238"/>
        <v>3487.707692307692</v>
      </c>
      <c r="Q83" s="286">
        <f t="shared" si="239"/>
        <v>58.128461538461529</v>
      </c>
      <c r="R83" s="286">
        <f t="shared" si="240"/>
        <v>697.54153846153838</v>
      </c>
      <c r="S83" s="286"/>
      <c r="T83" s="286">
        <f t="shared" si="241"/>
        <v>697.54153846153838</v>
      </c>
      <c r="U83" s="286">
        <v>1</v>
      </c>
      <c r="V83" s="286">
        <f t="shared" si="242"/>
        <v>697.54153846153838</v>
      </c>
      <c r="W83" s="286"/>
      <c r="X83" s="286">
        <f t="shared" si="243"/>
        <v>58.128461538408665</v>
      </c>
      <c r="Y83" s="286">
        <f t="shared" si="244"/>
        <v>58.128461538408665</v>
      </c>
      <c r="Z83" s="286">
        <v>1</v>
      </c>
      <c r="AA83" s="286">
        <f t="shared" si="245"/>
        <v>58.128461538408665</v>
      </c>
      <c r="AB83" s="286">
        <f t="shared" si="246"/>
        <v>755.66999999994709</v>
      </c>
      <c r="AC83" s="286">
        <f t="shared" si="247"/>
        <v>3080.8084615385142</v>
      </c>
      <c r="AD83" s="286">
        <f t="shared" si="226"/>
        <v>2016.9166666666667</v>
      </c>
      <c r="AE83" s="286">
        <f t="shared" si="12"/>
        <v>2018</v>
      </c>
      <c r="AF83" s="286">
        <f t="shared" si="228"/>
        <v>2021.9166666666667</v>
      </c>
      <c r="AG83" s="286">
        <f t="shared" si="14"/>
        <v>2017</v>
      </c>
      <c r="AH83" s="286">
        <f t="shared" si="230"/>
        <v>-8.3333333333333329E-2</v>
      </c>
      <c r="AJ83" s="11">
        <f t="shared" si="231"/>
        <v>0</v>
      </c>
      <c r="AL83" s="11">
        <f t="shared" si="232"/>
        <v>697.54153846153838</v>
      </c>
      <c r="AN83" s="11">
        <f t="shared" si="233"/>
        <v>0</v>
      </c>
      <c r="AP83" s="11">
        <f t="shared" si="234"/>
        <v>0</v>
      </c>
      <c r="AR83" s="11">
        <f t="shared" si="235"/>
        <v>3080.8084615385142</v>
      </c>
    </row>
    <row r="85" spans="1:76">
      <c r="B85" s="284"/>
      <c r="C85" s="284"/>
      <c r="D85" s="306"/>
      <c r="G85" s="307"/>
      <c r="H85" s="286"/>
      <c r="I85" s="308"/>
      <c r="K85" s="309"/>
      <c r="O85" s="310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</row>
    <row r="86" spans="1:76">
      <c r="B86" s="284"/>
      <c r="D86" s="294" t="s">
        <v>130</v>
      </c>
      <c r="G86" s="307"/>
      <c r="H86" s="286"/>
      <c r="I86" s="308"/>
      <c r="K86" s="309"/>
      <c r="N86" s="319">
        <f>SUM(N72:N85)</f>
        <v>891830.49369230762</v>
      </c>
      <c r="O86" s="322"/>
      <c r="P86" s="320">
        <f t="shared" ref="P86:AC86" si="248">SUM(P72:P85)</f>
        <v>723534.22169230762</v>
      </c>
      <c r="Q86" s="320">
        <f t="shared" si="248"/>
        <v>8944.7554853479851</v>
      </c>
      <c r="R86" s="320">
        <f t="shared" si="248"/>
        <v>10307.596371795002</v>
      </c>
      <c r="S86" s="320">
        <f t="shared" si="248"/>
        <v>0</v>
      </c>
      <c r="T86" s="320">
        <f t="shared" si="248"/>
        <v>10307.596371795002</v>
      </c>
      <c r="U86" s="320">
        <f t="shared" si="248"/>
        <v>12</v>
      </c>
      <c r="V86" s="320">
        <f t="shared" si="248"/>
        <v>10307.596371795002</v>
      </c>
      <c r="W86" s="320">
        <f t="shared" si="248"/>
        <v>0</v>
      </c>
      <c r="X86" s="320">
        <f t="shared" si="248"/>
        <v>676275.83762820496</v>
      </c>
      <c r="Y86" s="320">
        <f t="shared" si="248"/>
        <v>676275.83762820496</v>
      </c>
      <c r="Z86" s="320">
        <f t="shared" si="248"/>
        <v>12</v>
      </c>
      <c r="AA86" s="320">
        <f t="shared" si="248"/>
        <v>676275.83762820496</v>
      </c>
      <c r="AB86" s="320">
        <f t="shared" si="248"/>
        <v>686583.43399999989</v>
      </c>
      <c r="AC86" s="320">
        <f t="shared" si="248"/>
        <v>210400.85787820522</v>
      </c>
      <c r="AD86" s="323"/>
      <c r="AE86" s="323"/>
      <c r="AF86" s="323"/>
      <c r="AG86" s="323"/>
      <c r="AH86" s="323"/>
      <c r="AJ86" s="8">
        <f t="shared" ref="AJ86:AR86" si="249">SUM(AJ72:AJ85)</f>
        <v>56098.757333333335</v>
      </c>
      <c r="AK86" s="8">
        <f t="shared" si="249"/>
        <v>0</v>
      </c>
      <c r="AL86" s="8">
        <f t="shared" si="249"/>
        <v>66406.353705128335</v>
      </c>
      <c r="AM86" s="8">
        <f t="shared" si="249"/>
        <v>0</v>
      </c>
      <c r="AN86" s="8">
        <f t="shared" si="249"/>
        <v>-167556.4</v>
      </c>
      <c r="AO86" s="8">
        <f t="shared" si="249"/>
        <v>0</v>
      </c>
      <c r="AP86" s="8">
        <f t="shared" si="249"/>
        <v>782.1253333333467</v>
      </c>
      <c r="AQ86" s="8">
        <f t="shared" si="249"/>
        <v>0</v>
      </c>
      <c r="AR86" s="8">
        <f t="shared" si="249"/>
        <v>42721.14587820525</v>
      </c>
    </row>
    <row r="87" spans="1:76">
      <c r="B87" s="306"/>
      <c r="D87" s="306"/>
      <c r="G87" s="307"/>
      <c r="H87" s="286"/>
      <c r="I87" s="325"/>
      <c r="K87" s="309"/>
      <c r="O87" s="310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</row>
    <row r="88" spans="1:76">
      <c r="B88" s="284"/>
      <c r="C88" s="321"/>
      <c r="D88" s="286"/>
      <c r="E88" s="309"/>
      <c r="F88" s="308"/>
      <c r="G88" s="308"/>
      <c r="H88" s="286"/>
      <c r="I88" s="308"/>
      <c r="K88" s="309"/>
      <c r="N88" s="321">
        <f>N24+N44+N78+N95</f>
        <v>17074</v>
      </c>
      <c r="O88" s="310">
        <v>0</v>
      </c>
      <c r="P88" s="286">
        <f>N88+776.09</f>
        <v>17850.09</v>
      </c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</row>
    <row r="89" spans="1:76">
      <c r="B89" s="284"/>
      <c r="D89" s="283" t="s">
        <v>131</v>
      </c>
      <c r="H89" s="286"/>
      <c r="I89" s="308"/>
      <c r="K89" s="309"/>
      <c r="O89" s="32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</row>
    <row r="90" spans="1:76">
      <c r="B90" s="284" t="s">
        <v>132</v>
      </c>
      <c r="C90" s="282">
        <v>20</v>
      </c>
      <c r="D90" s="318" t="s">
        <v>133</v>
      </c>
      <c r="E90" s="282">
        <v>1999</v>
      </c>
      <c r="F90" s="284">
        <v>12</v>
      </c>
      <c r="G90" s="307">
        <v>0.33</v>
      </c>
      <c r="H90" s="286"/>
      <c r="I90" s="308" t="s">
        <v>86</v>
      </c>
      <c r="J90" s="284">
        <v>5</v>
      </c>
      <c r="K90" s="309">
        <v>2004</v>
      </c>
      <c r="N90" s="285">
        <f>23143+18598</f>
        <v>41741</v>
      </c>
      <c r="O90" s="310"/>
      <c r="P90" s="286">
        <v>15505.81</v>
      </c>
      <c r="Q90" s="286">
        <v>258.43016666666665</v>
      </c>
      <c r="R90" s="286">
        <v>0</v>
      </c>
      <c r="S90" s="286">
        <v>0</v>
      </c>
      <c r="T90" s="286">
        <v>0</v>
      </c>
      <c r="U90" s="286">
        <v>1</v>
      </c>
      <c r="V90" s="286">
        <v>0</v>
      </c>
      <c r="W90" s="286"/>
      <c r="X90" s="286">
        <v>15505.81</v>
      </c>
      <c r="Y90" s="286">
        <v>15505.81</v>
      </c>
      <c r="Z90" s="286">
        <v>1</v>
      </c>
      <c r="AA90" s="286">
        <v>15505.81</v>
      </c>
      <c r="AB90" s="286">
        <v>15505.81</v>
      </c>
      <c r="AC90" s="286">
        <v>7637.19</v>
      </c>
      <c r="AD90" s="286">
        <v>1999.9166666666667</v>
      </c>
      <c r="AE90" s="286">
        <v>2009</v>
      </c>
      <c r="AF90" s="286">
        <v>2004.9166666666667</v>
      </c>
      <c r="AG90" s="286">
        <v>2008</v>
      </c>
      <c r="AH90" s="286">
        <v>-8.3333333333333329E-2</v>
      </c>
      <c r="AJ90" s="11">
        <f t="shared" ref="AJ90:AJ100" si="250">+IF((AF90-AG90)&gt;3,((N90-P90)/(AF90-AG90)),(N90-P90)/3)</f>
        <v>8745.0633333333335</v>
      </c>
      <c r="AL90" s="11">
        <f t="shared" ref="AL90:AL100" si="251">+AJ90+R90</f>
        <v>8745.0633333333335</v>
      </c>
      <c r="AN90" s="11">
        <f t="shared" ref="AN90:AN100" si="252">+IF(AF90&lt;AG90,-AC90,0)</f>
        <v>-7637.19</v>
      </c>
      <c r="AP90" s="11">
        <f t="shared" ref="AP90:AP100" si="253">+IF(AF90&gt;AG90,IF(AJ90&gt;0,IF(O90&gt;0,(N90-AA90)/2,IF(AD90&gt;=AG90,(((N90*U90)*Z90)-(AB90+AJ90))/2,((((N90*U90)*Z90)-AA90)+(((N90*U90)*Z90)-(AB90+AJ90)))/2)),0),0)</f>
        <v>0</v>
      </c>
      <c r="AR90" s="11">
        <f t="shared" ref="AR90:AR100" si="254">+AC90+AN90+(IF(AP90&gt;0,(AP90-AC90),0))</f>
        <v>0</v>
      </c>
    </row>
    <row r="91" spans="1:76">
      <c r="B91" s="284" t="s">
        <v>88</v>
      </c>
      <c r="C91" s="282">
        <v>23</v>
      </c>
      <c r="D91" s="306" t="s">
        <v>93</v>
      </c>
      <c r="E91" s="282">
        <v>2007</v>
      </c>
      <c r="F91" s="284">
        <v>8</v>
      </c>
      <c r="G91" s="307">
        <v>0.2</v>
      </c>
      <c r="H91" s="286"/>
      <c r="I91" s="308" t="s">
        <v>86</v>
      </c>
      <c r="J91" s="284">
        <v>7</v>
      </c>
      <c r="K91" s="309">
        <f t="shared" ref="K91:K98" si="255">E91+J91</f>
        <v>2014</v>
      </c>
      <c r="N91" s="285">
        <f>143978.11+10482.88</f>
        <v>154460.99</v>
      </c>
      <c r="O91" s="310"/>
      <c r="P91" s="286">
        <f t="shared" ref="P91:P96" si="256">N91-N91*G91</f>
        <v>123568.79199999999</v>
      </c>
      <c r="Q91" s="286">
        <f t="shared" ref="Q91:Q96" si="257">P91/J91/12</f>
        <v>1471.0570476190476</v>
      </c>
      <c r="R91" s="286">
        <f t="shared" ref="R91:R96" si="258">IF(O91&gt;0,0,IF(OR(AD91&gt;AE91,AF91&lt;AG91),0,IF(AND(AF91&gt;=AG91,AF91&lt;=AE91),Q91*((AF91-AG91)*12),IF(AND(AG91&lt;=AD91,AE91&gt;=AD91),((AE91-AD91)*12)*Q91,IF(AF91&gt;AE91,12*Q91,0)))))</f>
        <v>0</v>
      </c>
      <c r="S91" s="286"/>
      <c r="T91" s="286">
        <f t="shared" ref="T91:T96" si="259">IF(S91&gt;0,S91,R91)</f>
        <v>0</v>
      </c>
      <c r="U91" s="286">
        <v>1</v>
      </c>
      <c r="V91" s="286">
        <f t="shared" ref="V91:V96" si="260">U91*SUM(R91:S91)</f>
        <v>0</v>
      </c>
      <c r="W91" s="286"/>
      <c r="X91" s="286">
        <f t="shared" ref="X91:X96" si="261">IF(AD91&gt;AE91,0,IF(AF91&lt;AG91,P91,IF(AND(AF91&gt;=AG91,AF91&lt;=AE91),(P91-T91),IF(AND(AG91&lt;=AD91,AE91&gt;=AD91),0,IF(AF91&gt;AE91,((AG91-AD91)*12)*Q91,0)))))</f>
        <v>123568.79199999999</v>
      </c>
      <c r="Y91" s="286">
        <f t="shared" ref="Y91:Y96" si="262">X91*U91</f>
        <v>123568.79199999999</v>
      </c>
      <c r="Z91" s="286">
        <v>1</v>
      </c>
      <c r="AA91" s="286">
        <f t="shared" ref="AA91:AA96" si="263">Y91*Z91</f>
        <v>123568.79199999999</v>
      </c>
      <c r="AB91" s="286">
        <f t="shared" ref="AB91:AB96" si="264">IF(O91&gt;0,0,AA91+V91*Z91)*Z91</f>
        <v>123568.79199999999</v>
      </c>
      <c r="AC91" s="286">
        <f t="shared" ref="AC91:AC96" si="265">IF(O91&gt;0,(N91-AA91)/2,IF(AD91&gt;=AG91,(((N91*U91)*Z91)-AB91)/2,((((N91*U91)*Z91)-AA91)+(((N91*U91)*Z91)-AB91))/2))</f>
        <v>30892.198000000004</v>
      </c>
      <c r="AD91" s="286">
        <f t="shared" ref="AD91:AD98" si="266">$E91+(($F91-1)/12)</f>
        <v>2007.5833333333333</v>
      </c>
      <c r="AE91" s="286">
        <f t="shared" si="12"/>
        <v>2018</v>
      </c>
      <c r="AF91" s="286">
        <f t="shared" ref="AF91:AF98" si="267">$K91+(($F91-1)/12)</f>
        <v>2014.5833333333333</v>
      </c>
      <c r="AG91" s="286">
        <f t="shared" si="14"/>
        <v>2017</v>
      </c>
      <c r="AH91" s="286">
        <f t="shared" ref="AH91:AH98" si="268">$L91+(($M91-1)/12)</f>
        <v>-8.3333333333333329E-2</v>
      </c>
      <c r="AJ91" s="11">
        <f t="shared" si="250"/>
        <v>10297.399333333335</v>
      </c>
      <c r="AL91" s="11">
        <f t="shared" si="251"/>
        <v>10297.399333333335</v>
      </c>
      <c r="AN91" s="11">
        <f t="shared" si="252"/>
        <v>-30892.198000000004</v>
      </c>
      <c r="AP91" s="11">
        <f t="shared" si="253"/>
        <v>0</v>
      </c>
      <c r="AR91" s="11">
        <f t="shared" si="254"/>
        <v>0</v>
      </c>
    </row>
    <row r="92" spans="1:76">
      <c r="B92" s="284" t="s">
        <v>121</v>
      </c>
      <c r="C92" s="282">
        <v>11</v>
      </c>
      <c r="D92" s="306" t="s">
        <v>135</v>
      </c>
      <c r="E92" s="282">
        <v>2007</v>
      </c>
      <c r="F92" s="284">
        <v>12</v>
      </c>
      <c r="G92" s="307">
        <v>0.2</v>
      </c>
      <c r="H92" s="286"/>
      <c r="I92" s="308" t="s">
        <v>86</v>
      </c>
      <c r="J92" s="284">
        <v>7</v>
      </c>
      <c r="K92" s="309">
        <f t="shared" si="255"/>
        <v>2014</v>
      </c>
      <c r="N92" s="285">
        <f>281590.06</f>
        <v>281590.06</v>
      </c>
      <c r="O92" s="310"/>
      <c r="P92" s="286">
        <f t="shared" si="256"/>
        <v>225272.04800000001</v>
      </c>
      <c r="Q92" s="286">
        <f t="shared" si="257"/>
        <v>2681.8100952380951</v>
      </c>
      <c r="R92" s="286">
        <f t="shared" si="258"/>
        <v>0</v>
      </c>
      <c r="S92" s="286"/>
      <c r="T92" s="286">
        <f t="shared" si="259"/>
        <v>0</v>
      </c>
      <c r="U92" s="286">
        <v>1</v>
      </c>
      <c r="V92" s="286">
        <f t="shared" si="260"/>
        <v>0</v>
      </c>
      <c r="W92" s="286"/>
      <c r="X92" s="286">
        <f t="shared" si="261"/>
        <v>225272.04800000001</v>
      </c>
      <c r="Y92" s="286">
        <f t="shared" si="262"/>
        <v>225272.04800000001</v>
      </c>
      <c r="Z92" s="286">
        <v>1</v>
      </c>
      <c r="AA92" s="286">
        <f t="shared" si="263"/>
        <v>225272.04800000001</v>
      </c>
      <c r="AB92" s="286">
        <f t="shared" si="264"/>
        <v>225272.04800000001</v>
      </c>
      <c r="AC92" s="286">
        <f t="shared" si="265"/>
        <v>56318.011999999988</v>
      </c>
      <c r="AD92" s="286">
        <f t="shared" si="266"/>
        <v>2007.9166666666667</v>
      </c>
      <c r="AE92" s="286">
        <f>($P$5+1)-($P$2/12)</f>
        <v>2018</v>
      </c>
      <c r="AF92" s="286">
        <f t="shared" si="267"/>
        <v>2014.9166666666667</v>
      </c>
      <c r="AG92" s="286">
        <f>$P$4+($P$3/12)</f>
        <v>2017</v>
      </c>
      <c r="AH92" s="286">
        <f t="shared" si="268"/>
        <v>-8.3333333333333329E-2</v>
      </c>
      <c r="AJ92" s="11">
        <f t="shared" si="250"/>
        <v>18772.670666666661</v>
      </c>
      <c r="AL92" s="11">
        <f t="shared" si="251"/>
        <v>18772.670666666661</v>
      </c>
      <c r="AN92" s="11">
        <f t="shared" si="252"/>
        <v>-56318.011999999988</v>
      </c>
      <c r="AP92" s="11">
        <f t="shared" si="253"/>
        <v>0</v>
      </c>
      <c r="AR92" s="11">
        <f t="shared" si="254"/>
        <v>0</v>
      </c>
    </row>
    <row r="93" spans="1:76">
      <c r="B93" s="284" t="s">
        <v>132</v>
      </c>
      <c r="C93" s="282">
        <v>26</v>
      </c>
      <c r="D93" s="306" t="s">
        <v>136</v>
      </c>
      <c r="E93" s="282">
        <v>2008</v>
      </c>
      <c r="F93" s="284">
        <v>8</v>
      </c>
      <c r="G93" s="307">
        <v>0.33</v>
      </c>
      <c r="H93" s="286"/>
      <c r="I93" s="308" t="s">
        <v>86</v>
      </c>
      <c r="J93" s="284">
        <v>5</v>
      </c>
      <c r="K93" s="309">
        <f t="shared" si="255"/>
        <v>2013</v>
      </c>
      <c r="N93" s="285">
        <v>80004.63</v>
      </c>
      <c r="O93" s="310"/>
      <c r="P93" s="286">
        <f t="shared" si="256"/>
        <v>53603.102100000004</v>
      </c>
      <c r="Q93" s="286">
        <f t="shared" si="257"/>
        <v>893.38503500000013</v>
      </c>
      <c r="R93" s="286">
        <f t="shared" si="258"/>
        <v>0</v>
      </c>
      <c r="S93" s="286"/>
      <c r="T93" s="286">
        <f t="shared" si="259"/>
        <v>0</v>
      </c>
      <c r="U93" s="286">
        <v>1</v>
      </c>
      <c r="V93" s="286">
        <f t="shared" si="260"/>
        <v>0</v>
      </c>
      <c r="W93" s="286"/>
      <c r="X93" s="286">
        <f t="shared" si="261"/>
        <v>53603.102100000004</v>
      </c>
      <c r="Y93" s="286">
        <f t="shared" si="262"/>
        <v>53603.102100000004</v>
      </c>
      <c r="Z93" s="286">
        <v>1</v>
      </c>
      <c r="AA93" s="286">
        <f t="shared" si="263"/>
        <v>53603.102100000004</v>
      </c>
      <c r="AB93" s="286">
        <f t="shared" si="264"/>
        <v>53603.102100000004</v>
      </c>
      <c r="AC93" s="286">
        <f t="shared" si="265"/>
        <v>26401.527900000001</v>
      </c>
      <c r="AD93" s="286">
        <f t="shared" si="266"/>
        <v>2008.5833333333333</v>
      </c>
      <c r="AE93" s="286">
        <f>($P$5+1)-($P$2/12)</f>
        <v>2018</v>
      </c>
      <c r="AF93" s="286">
        <f t="shared" si="267"/>
        <v>2013.5833333333333</v>
      </c>
      <c r="AG93" s="286">
        <f>$P$4+($P$3/12)</f>
        <v>2017</v>
      </c>
      <c r="AH93" s="286">
        <f t="shared" si="268"/>
        <v>-8.3333333333333329E-2</v>
      </c>
      <c r="AJ93" s="11">
        <f t="shared" si="250"/>
        <v>8800.5092999999997</v>
      </c>
      <c r="AL93" s="11">
        <f t="shared" si="251"/>
        <v>8800.5092999999997</v>
      </c>
      <c r="AN93" s="11">
        <f t="shared" si="252"/>
        <v>-26401.527900000001</v>
      </c>
      <c r="AP93" s="11">
        <f t="shared" si="253"/>
        <v>0</v>
      </c>
      <c r="AR93" s="11">
        <f t="shared" si="254"/>
        <v>0</v>
      </c>
    </row>
    <row r="94" spans="1:76">
      <c r="B94" s="284" t="s">
        <v>137</v>
      </c>
      <c r="C94" s="282">
        <v>8009</v>
      </c>
      <c r="D94" s="306" t="s">
        <v>138</v>
      </c>
      <c r="E94" s="282">
        <v>2010</v>
      </c>
      <c r="F94" s="284">
        <v>1</v>
      </c>
      <c r="G94" s="307">
        <v>0.33</v>
      </c>
      <c r="H94" s="286"/>
      <c r="I94" s="308" t="s">
        <v>86</v>
      </c>
      <c r="J94" s="284">
        <v>5</v>
      </c>
      <c r="K94" s="309">
        <f t="shared" si="255"/>
        <v>2015</v>
      </c>
      <c r="N94" s="285">
        <f>5000*1.084</f>
        <v>5420</v>
      </c>
      <c r="O94" s="310">
        <v>0</v>
      </c>
      <c r="P94" s="286">
        <f t="shared" si="256"/>
        <v>3631.3999999999996</v>
      </c>
      <c r="Q94" s="286">
        <f t="shared" si="257"/>
        <v>60.523333333333333</v>
      </c>
      <c r="R94" s="286">
        <f t="shared" si="258"/>
        <v>0</v>
      </c>
      <c r="S94" s="286">
        <f>IF(O94=0,0,IF(AND(AH94&gt;=AG94,AH94&lt;=AF94),((AH94-AG94)*12)*Q94,0))</f>
        <v>0</v>
      </c>
      <c r="T94" s="286">
        <f t="shared" si="259"/>
        <v>0</v>
      </c>
      <c r="U94" s="286">
        <v>1</v>
      </c>
      <c r="V94" s="286">
        <f t="shared" si="260"/>
        <v>0</v>
      </c>
      <c r="W94" s="286"/>
      <c r="X94" s="286">
        <f t="shared" si="261"/>
        <v>3631.3999999999996</v>
      </c>
      <c r="Y94" s="286">
        <f t="shared" si="262"/>
        <v>3631.3999999999996</v>
      </c>
      <c r="Z94" s="286">
        <v>1</v>
      </c>
      <c r="AA94" s="286">
        <f t="shared" si="263"/>
        <v>3631.3999999999996</v>
      </c>
      <c r="AB94" s="286">
        <f t="shared" si="264"/>
        <v>3631.3999999999996</v>
      </c>
      <c r="AC94" s="286">
        <f t="shared" si="265"/>
        <v>1788.6000000000004</v>
      </c>
      <c r="AD94" s="286">
        <f t="shared" si="266"/>
        <v>2010</v>
      </c>
      <c r="AE94" s="286">
        <f>($P$5+1)-($P$2/12)</f>
        <v>2018</v>
      </c>
      <c r="AF94" s="286">
        <f t="shared" si="267"/>
        <v>2015</v>
      </c>
      <c r="AG94" s="286">
        <f>$P$4+($P$3/12)</f>
        <v>2017</v>
      </c>
      <c r="AH94" s="286">
        <f t="shared" si="268"/>
        <v>-8.3333333333333329E-2</v>
      </c>
      <c r="AJ94" s="11">
        <f t="shared" si="250"/>
        <v>596.20000000000016</v>
      </c>
      <c r="AL94" s="11">
        <f t="shared" si="251"/>
        <v>596.20000000000016</v>
      </c>
      <c r="AN94" s="11">
        <f t="shared" si="252"/>
        <v>-1788.6000000000004</v>
      </c>
      <c r="AP94" s="11">
        <f t="shared" si="253"/>
        <v>0</v>
      </c>
      <c r="AR94" s="11">
        <f t="shared" si="254"/>
        <v>0</v>
      </c>
      <c r="BX94" s="282" t="s">
        <v>139</v>
      </c>
    </row>
    <row r="95" spans="1:76">
      <c r="B95" s="284" t="s">
        <v>2</v>
      </c>
      <c r="C95" s="309">
        <v>3</v>
      </c>
      <c r="D95" s="306" t="s">
        <v>140</v>
      </c>
      <c r="E95" s="282">
        <v>2010</v>
      </c>
      <c r="F95" s="284">
        <v>3</v>
      </c>
      <c r="G95" s="307">
        <v>0.2</v>
      </c>
      <c r="H95" s="286"/>
      <c r="I95" s="308" t="s">
        <v>86</v>
      </c>
      <c r="J95" s="284">
        <v>7</v>
      </c>
      <c r="K95" s="309">
        <f t="shared" si="255"/>
        <v>2017</v>
      </c>
      <c r="N95" s="285">
        <f>776.09*3</f>
        <v>2328.27</v>
      </c>
      <c r="O95" s="310"/>
      <c r="P95" s="286">
        <f t="shared" si="256"/>
        <v>1862.616</v>
      </c>
      <c r="Q95" s="286">
        <f t="shared" si="257"/>
        <v>22.174000000000003</v>
      </c>
      <c r="R95" s="286">
        <f t="shared" si="258"/>
        <v>44.348000000020171</v>
      </c>
      <c r="S95" s="286"/>
      <c r="T95" s="286">
        <f t="shared" si="259"/>
        <v>44.348000000020171</v>
      </c>
      <c r="U95" s="286">
        <v>1</v>
      </c>
      <c r="V95" s="286">
        <f t="shared" si="260"/>
        <v>44.348000000020171</v>
      </c>
      <c r="W95" s="286"/>
      <c r="X95" s="286">
        <f t="shared" si="261"/>
        <v>1818.2679999999798</v>
      </c>
      <c r="Y95" s="286">
        <f t="shared" si="262"/>
        <v>1818.2679999999798</v>
      </c>
      <c r="Z95" s="286">
        <v>1</v>
      </c>
      <c r="AA95" s="286">
        <f t="shared" si="263"/>
        <v>1818.2679999999798</v>
      </c>
      <c r="AB95" s="286">
        <f t="shared" si="264"/>
        <v>1862.616</v>
      </c>
      <c r="AC95" s="286">
        <f t="shared" si="265"/>
        <v>487.82800000001009</v>
      </c>
      <c r="AD95" s="286">
        <f t="shared" si="266"/>
        <v>2010.1666666666667</v>
      </c>
      <c r="AE95" s="286">
        <f>($P$5+1)-($P$2/12)</f>
        <v>2018</v>
      </c>
      <c r="AF95" s="286">
        <f t="shared" si="267"/>
        <v>2017.1666666666667</v>
      </c>
      <c r="AG95" s="286">
        <f>$P$4+($P$3/12)</f>
        <v>2017</v>
      </c>
      <c r="AH95" s="286">
        <f t="shared" si="268"/>
        <v>-8.3333333333333329E-2</v>
      </c>
      <c r="AJ95" s="11">
        <f t="shared" si="250"/>
        <v>155.21799999999999</v>
      </c>
      <c r="AL95" s="11">
        <f t="shared" si="251"/>
        <v>199.56600000002015</v>
      </c>
      <c r="AN95" s="11">
        <f t="shared" si="252"/>
        <v>0</v>
      </c>
      <c r="AP95" s="11">
        <f t="shared" si="253"/>
        <v>410.21900000001006</v>
      </c>
      <c r="AR95" s="11">
        <f t="shared" si="254"/>
        <v>410.21900000001006</v>
      </c>
    </row>
    <row r="96" spans="1:76">
      <c r="A96" s="282">
        <v>131544</v>
      </c>
      <c r="B96" s="284"/>
      <c r="C96" s="309"/>
      <c r="D96" s="306" t="s">
        <v>339</v>
      </c>
      <c r="E96" s="282">
        <v>2016</v>
      </c>
      <c r="F96" s="284">
        <v>3</v>
      </c>
      <c r="G96" s="307">
        <v>0</v>
      </c>
      <c r="H96" s="286"/>
      <c r="I96" s="308" t="s">
        <v>86</v>
      </c>
      <c r="J96" s="284">
        <v>1</v>
      </c>
      <c r="K96" s="309">
        <f t="shared" si="255"/>
        <v>2017</v>
      </c>
      <c r="N96" s="285">
        <f>5975.04/24*3</f>
        <v>746.88</v>
      </c>
      <c r="O96" s="310"/>
      <c r="P96" s="286">
        <f t="shared" si="256"/>
        <v>746.88</v>
      </c>
      <c r="Q96" s="286">
        <f t="shared" si="257"/>
        <v>62.24</v>
      </c>
      <c r="R96" s="286">
        <f t="shared" si="258"/>
        <v>124.48000000005661</v>
      </c>
      <c r="S96" s="286"/>
      <c r="T96" s="286">
        <f t="shared" si="259"/>
        <v>124.48000000005661</v>
      </c>
      <c r="U96" s="286">
        <v>1</v>
      </c>
      <c r="V96" s="286">
        <f t="shared" si="260"/>
        <v>124.48000000005661</v>
      </c>
      <c r="W96" s="286"/>
      <c r="X96" s="286">
        <f t="shared" si="261"/>
        <v>622.39999999994336</v>
      </c>
      <c r="Y96" s="286">
        <f t="shared" si="262"/>
        <v>622.39999999994336</v>
      </c>
      <c r="Z96" s="286">
        <v>1</v>
      </c>
      <c r="AA96" s="286">
        <f t="shared" si="263"/>
        <v>622.39999999994336</v>
      </c>
      <c r="AB96" s="286">
        <f t="shared" si="264"/>
        <v>746.88</v>
      </c>
      <c r="AC96" s="286">
        <f t="shared" si="265"/>
        <v>62.240000000028317</v>
      </c>
      <c r="AD96" s="286">
        <f t="shared" si="266"/>
        <v>2016.1666666666667</v>
      </c>
      <c r="AE96" s="286">
        <f t="shared" ref="AE96:AE97" si="269">($P$5+1)-($P$2/12)</f>
        <v>2018</v>
      </c>
      <c r="AF96" s="286">
        <f t="shared" si="267"/>
        <v>2017.1666666666667</v>
      </c>
      <c r="AG96" s="286">
        <f t="shared" ref="AG96:AG97" si="270">$P$4+($P$3/12)</f>
        <v>2017</v>
      </c>
      <c r="AH96" s="286">
        <f t="shared" si="268"/>
        <v>-8.3333333333333329E-2</v>
      </c>
      <c r="AJ96" s="11">
        <f t="shared" si="250"/>
        <v>0</v>
      </c>
      <c r="AL96" s="11">
        <f t="shared" si="251"/>
        <v>124.48000000005661</v>
      </c>
      <c r="AN96" s="11">
        <f t="shared" si="252"/>
        <v>0</v>
      </c>
      <c r="AP96" s="11">
        <f t="shared" si="253"/>
        <v>0</v>
      </c>
      <c r="AR96" s="11">
        <f t="shared" si="254"/>
        <v>62.240000000028317</v>
      </c>
    </row>
    <row r="97" spans="1:44">
      <c r="A97" s="282">
        <v>165805</v>
      </c>
      <c r="B97" s="284"/>
      <c r="C97" s="309"/>
      <c r="D97" s="306" t="s">
        <v>346</v>
      </c>
      <c r="E97" s="282">
        <v>2016</v>
      </c>
      <c r="F97" s="284">
        <v>6</v>
      </c>
      <c r="G97" s="307">
        <v>0</v>
      </c>
      <c r="H97" s="286"/>
      <c r="I97" s="308" t="s">
        <v>86</v>
      </c>
      <c r="J97" s="284">
        <v>1</v>
      </c>
      <c r="K97" s="309">
        <f t="shared" si="255"/>
        <v>2017</v>
      </c>
      <c r="N97" s="285">
        <f>6255.46/30*3</f>
        <v>625.54600000000005</v>
      </c>
      <c r="O97" s="310"/>
      <c r="P97" s="286">
        <f t="shared" ref="P97:P98" si="271">N97-N97*G97</f>
        <v>625.54600000000005</v>
      </c>
      <c r="Q97" s="286">
        <f t="shared" ref="Q97:Q98" si="272">P97/J97/12</f>
        <v>52.12883333333334</v>
      </c>
      <c r="R97" s="286">
        <f t="shared" ref="R97:R98" si="273">IF(O97&gt;0,0,IF(OR(AD97&gt;AE97,AF97&lt;AG97),0,IF(AND(AF97&gt;=AG97,AF97&lt;=AE97),Q97*((AF97-AG97)*12),IF(AND(AG97&lt;=AD97,AE97&gt;=AD97),((AE97-AD97)*12)*Q97,IF(AF97&gt;AE97,12*Q97,0)))))</f>
        <v>260.64416666671411</v>
      </c>
      <c r="S97" s="286"/>
      <c r="T97" s="286">
        <f t="shared" ref="T97:T98" si="274">IF(S97&gt;0,S97,R97)</f>
        <v>260.64416666671411</v>
      </c>
      <c r="U97" s="286">
        <v>1</v>
      </c>
      <c r="V97" s="286">
        <f t="shared" ref="V97:V98" si="275">U97*SUM(R97:S97)</f>
        <v>260.64416666671411</v>
      </c>
      <c r="W97" s="286"/>
      <c r="X97" s="286">
        <f t="shared" ref="X97:X98" si="276">IF(AD97&gt;AE97,0,IF(AF97&lt;AG97,P97,IF(AND(AF97&gt;=AG97,AF97&lt;=AE97),(P97-T97),IF(AND(AG97&lt;=AD97,AE97&gt;=AD97),0,IF(AF97&gt;AE97,((AG97-AD97)*12)*Q97,0)))))</f>
        <v>364.90183333328594</v>
      </c>
      <c r="Y97" s="286">
        <f t="shared" ref="Y97:Y98" si="277">X97*U97</f>
        <v>364.90183333328594</v>
      </c>
      <c r="Z97" s="286">
        <v>1</v>
      </c>
      <c r="AA97" s="286">
        <f t="shared" ref="AA97:AA98" si="278">Y97*Z97</f>
        <v>364.90183333328594</v>
      </c>
      <c r="AB97" s="286">
        <f t="shared" ref="AB97:AB98" si="279">IF(O97&gt;0,0,AA97+V97*Z97)*Z97</f>
        <v>625.54600000000005</v>
      </c>
      <c r="AC97" s="286">
        <f t="shared" ref="AC97:AC98" si="280">IF(O97&gt;0,(N97-AA97)/2,IF(AD97&gt;=AG97,(((N97*U97)*Z97)-AB97)/2,((((N97*U97)*Z97)-AA97)+(((N97*U97)*Z97)-AB97))/2))</f>
        <v>130.32208333335706</v>
      </c>
      <c r="AD97" s="286">
        <f t="shared" si="266"/>
        <v>2016.4166666666667</v>
      </c>
      <c r="AE97" s="286">
        <f t="shared" si="269"/>
        <v>2018</v>
      </c>
      <c r="AF97" s="286">
        <f t="shared" si="267"/>
        <v>2017.4166666666667</v>
      </c>
      <c r="AG97" s="286">
        <f t="shared" si="270"/>
        <v>2017</v>
      </c>
      <c r="AH97" s="286">
        <f t="shared" si="268"/>
        <v>-8.3333333333333329E-2</v>
      </c>
      <c r="AJ97" s="11">
        <f t="shared" si="250"/>
        <v>0</v>
      </c>
      <c r="AL97" s="11">
        <f t="shared" si="251"/>
        <v>260.64416666671411</v>
      </c>
      <c r="AN97" s="11">
        <f t="shared" si="252"/>
        <v>0</v>
      </c>
      <c r="AP97" s="11">
        <f t="shared" si="253"/>
        <v>0</v>
      </c>
      <c r="AR97" s="11">
        <f t="shared" si="254"/>
        <v>130.32208333335706</v>
      </c>
    </row>
    <row r="98" spans="1:44">
      <c r="A98" s="282">
        <v>171078</v>
      </c>
      <c r="B98" s="284"/>
      <c r="C98" s="309"/>
      <c r="D98" s="306" t="s">
        <v>356</v>
      </c>
      <c r="E98" s="282">
        <v>2016</v>
      </c>
      <c r="F98" s="284">
        <v>12</v>
      </c>
      <c r="G98" s="307">
        <v>0</v>
      </c>
      <c r="H98" s="286"/>
      <c r="I98" s="308" t="s">
        <v>86</v>
      </c>
      <c r="J98" s="284">
        <v>5</v>
      </c>
      <c r="K98" s="309">
        <f t="shared" si="255"/>
        <v>2021</v>
      </c>
      <c r="N98" s="285">
        <f>22670.1/26*4</f>
        <v>3487.707692307692</v>
      </c>
      <c r="O98" s="310"/>
      <c r="P98" s="286">
        <f t="shared" si="271"/>
        <v>3487.707692307692</v>
      </c>
      <c r="Q98" s="286">
        <f t="shared" si="272"/>
        <v>58.128461538461529</v>
      </c>
      <c r="R98" s="286">
        <f t="shared" si="273"/>
        <v>697.54153846153838</v>
      </c>
      <c r="S98" s="286"/>
      <c r="T98" s="286">
        <f t="shared" si="274"/>
        <v>697.54153846153838</v>
      </c>
      <c r="U98" s="286">
        <v>1</v>
      </c>
      <c r="V98" s="286">
        <f t="shared" si="275"/>
        <v>697.54153846153838</v>
      </c>
      <c r="W98" s="286"/>
      <c r="X98" s="286">
        <f t="shared" si="276"/>
        <v>58.128461538408665</v>
      </c>
      <c r="Y98" s="286">
        <f t="shared" si="277"/>
        <v>58.128461538408665</v>
      </c>
      <c r="Z98" s="286">
        <v>1</v>
      </c>
      <c r="AA98" s="286">
        <f t="shared" si="278"/>
        <v>58.128461538408665</v>
      </c>
      <c r="AB98" s="286">
        <f t="shared" si="279"/>
        <v>755.66999999994709</v>
      </c>
      <c r="AC98" s="286">
        <f t="shared" si="280"/>
        <v>3080.8084615385142</v>
      </c>
      <c r="AD98" s="286">
        <f t="shared" si="266"/>
        <v>2016.9166666666667</v>
      </c>
      <c r="AE98" s="286">
        <f t="shared" si="12"/>
        <v>2018</v>
      </c>
      <c r="AF98" s="286">
        <f t="shared" si="267"/>
        <v>2021.9166666666667</v>
      </c>
      <c r="AG98" s="286">
        <f t="shared" si="14"/>
        <v>2017</v>
      </c>
      <c r="AH98" s="286">
        <f t="shared" si="268"/>
        <v>-8.3333333333333329E-2</v>
      </c>
      <c r="AJ98" s="11">
        <f t="shared" si="250"/>
        <v>0</v>
      </c>
      <c r="AL98" s="11">
        <f t="shared" si="251"/>
        <v>697.54153846153838</v>
      </c>
      <c r="AN98" s="11">
        <f t="shared" si="252"/>
        <v>0</v>
      </c>
      <c r="AP98" s="11">
        <f t="shared" si="253"/>
        <v>0</v>
      </c>
      <c r="AR98" s="11">
        <f t="shared" si="254"/>
        <v>3080.8084615385142</v>
      </c>
    </row>
    <row r="99" spans="1:44">
      <c r="A99" s="282">
        <v>171238</v>
      </c>
      <c r="B99" s="284"/>
      <c r="D99" s="306" t="s">
        <v>358</v>
      </c>
      <c r="E99" s="282">
        <v>2016</v>
      </c>
      <c r="F99" s="284">
        <v>11</v>
      </c>
      <c r="G99" s="307">
        <v>0</v>
      </c>
      <c r="H99" s="286"/>
      <c r="I99" s="308" t="s">
        <v>86</v>
      </c>
      <c r="J99" s="284">
        <v>10</v>
      </c>
      <c r="K99" s="309">
        <f t="shared" ref="K99:K100" si="281">E99+J99</f>
        <v>2026</v>
      </c>
      <c r="N99" s="285">
        <v>79510.149999999994</v>
      </c>
      <c r="O99" s="310"/>
      <c r="P99" s="286">
        <f t="shared" ref="P99" si="282">N99-N99*G99</f>
        <v>79510.149999999994</v>
      </c>
      <c r="Q99" s="286">
        <f t="shared" ref="Q99" si="283">P99/J99/12</f>
        <v>662.58458333333328</v>
      </c>
      <c r="R99" s="286">
        <f t="shared" ref="R99" si="284">IF(O99&gt;0,0,IF(OR(AD99&gt;AE99,AF99&lt;AG99),0,IF(AND(AF99&gt;=AG99,AF99&lt;=AE99),Q99*((AF99-AG99)*12),IF(AND(AG99&lt;=AD99,AE99&gt;=AD99),((AE99-AD99)*12)*Q99,IF(AF99&gt;AE99,12*Q99,0)))))</f>
        <v>7951.0149999999994</v>
      </c>
      <c r="S99" s="286"/>
      <c r="T99" s="286">
        <f t="shared" ref="T99" si="285">IF(S99&gt;0,S99,R99)</f>
        <v>7951.0149999999994</v>
      </c>
      <c r="U99" s="286">
        <v>1</v>
      </c>
      <c r="V99" s="286">
        <f t="shared" ref="V99" si="286">U99*SUM(R99:S99)</f>
        <v>7951.0149999999994</v>
      </c>
      <c r="W99" s="286"/>
      <c r="X99" s="286">
        <f t="shared" ref="X99" si="287">IF(AD99&gt;AE99,0,IF(AF99&lt;AG99,P99,IF(AND(AF99&gt;=AG99,AF99&lt;=AE99),(P99-T99),IF(AND(AG99&lt;=AD99,AE99&gt;=AD99),0,IF(AF99&gt;AE99,((AG99-AD99)*12)*Q99,0)))))</f>
        <v>1325.1691666672691</v>
      </c>
      <c r="Y99" s="286">
        <f t="shared" ref="Y99" si="288">X99*U99</f>
        <v>1325.1691666672691</v>
      </c>
      <c r="Z99" s="286">
        <v>1</v>
      </c>
      <c r="AA99" s="286">
        <f t="shared" ref="AA99" si="289">Y99*Z99</f>
        <v>1325.1691666672691</v>
      </c>
      <c r="AB99" s="286">
        <f t="shared" ref="AB99" si="290">IF(O99&gt;0,0,AA99+V99*Z99)*Z99</f>
        <v>9276.1841666672681</v>
      </c>
      <c r="AC99" s="286">
        <f t="shared" ref="AC99" si="291">IF(O99&gt;0,(N99-AA99)/2,IF(AD99&gt;=AG99,(((N99*U99)*Z99)-AB99)/2,((((N99*U99)*Z99)-AA99)+(((N99*U99)*Z99)-AB99))/2))</f>
        <v>74209.473333332717</v>
      </c>
      <c r="AD99" s="286">
        <f>$E99+(($F99-1)/12)</f>
        <v>2016.8333333333333</v>
      </c>
      <c r="AE99" s="286">
        <f t="shared" ref="AE99:AE526" si="292">($P$5+1)-($P$2/12)</f>
        <v>2018</v>
      </c>
      <c r="AF99" s="286">
        <f>$K99+(($F99-1)/12)</f>
        <v>2026.8333333333333</v>
      </c>
      <c r="AG99" s="286">
        <f t="shared" ref="AG99:AG526" si="293">$P$4+($P$3/12)</f>
        <v>2017</v>
      </c>
      <c r="AH99" s="286">
        <f>$L99+(($M99-1)/12)</f>
        <v>-8.3333333333333329E-2</v>
      </c>
      <c r="AJ99" s="11">
        <f t="shared" si="250"/>
        <v>0</v>
      </c>
      <c r="AL99" s="11">
        <f t="shared" si="251"/>
        <v>7951.0149999999994</v>
      </c>
      <c r="AN99" s="11">
        <f t="shared" si="252"/>
        <v>0</v>
      </c>
      <c r="AP99" s="11">
        <f t="shared" si="253"/>
        <v>0</v>
      </c>
      <c r="AR99" s="11">
        <f t="shared" si="254"/>
        <v>74209.473333332717</v>
      </c>
    </row>
    <row r="100" spans="1:44">
      <c r="A100" s="282" t="s">
        <v>387</v>
      </c>
      <c r="B100" s="284"/>
      <c r="D100" s="306" t="s">
        <v>388</v>
      </c>
      <c r="E100" s="282">
        <v>2017</v>
      </c>
      <c r="F100" s="284">
        <v>1</v>
      </c>
      <c r="G100" s="307">
        <v>0</v>
      </c>
      <c r="H100" s="286"/>
      <c r="I100" s="308" t="s">
        <v>86</v>
      </c>
      <c r="J100" s="284">
        <v>9.11</v>
      </c>
      <c r="K100" s="309">
        <f t="shared" si="281"/>
        <v>2026.11</v>
      </c>
      <c r="N100" s="285">
        <v>8492.0300000000007</v>
      </c>
      <c r="O100" s="310"/>
      <c r="P100" s="286">
        <f t="shared" ref="P100" si="294">N100-N100*G100</f>
        <v>8492.0300000000007</v>
      </c>
      <c r="Q100" s="286">
        <f t="shared" ref="Q100" si="295">P100/J100/12</f>
        <v>77.680479326747175</v>
      </c>
      <c r="R100" s="286">
        <f t="shared" ref="R100" si="296">IF(O100&gt;0,0,IF(OR(AD100&gt;AE100,AF100&lt;AG100),0,IF(AND(AF100&gt;=AG100,AF100&lt;=AE100),Q100*((AF100-AG100)*12),IF(AND(AG100&lt;=AD100,AE100&gt;=AD100),((AE100-AD100)*12)*Q100,IF(AF100&gt;AE100,12*Q100,0)))))</f>
        <v>932.16575192096616</v>
      </c>
      <c r="S100" s="286"/>
      <c r="T100" s="286">
        <f t="shared" ref="T100" si="297">IF(S100&gt;0,S100,R100)</f>
        <v>932.16575192096616</v>
      </c>
      <c r="U100" s="286">
        <v>1</v>
      </c>
      <c r="V100" s="286">
        <f t="shared" ref="V100" si="298">U100*SUM(R100:S100)</f>
        <v>932.16575192096616</v>
      </c>
      <c r="W100" s="286"/>
      <c r="X100" s="286">
        <f t="shared" ref="X100" si="299">IF(AD100&gt;AE100,0,IF(AF100&lt;AG100,P100,IF(AND(AF100&gt;=AG100,AF100&lt;=AE100),(P100-T100),IF(AND(AG100&lt;=AD100,AE100&gt;=AD100),0,IF(AF100&gt;AE100,((AG100-AD100)*12)*Q100,0)))))</f>
        <v>0</v>
      </c>
      <c r="Y100" s="286">
        <f t="shared" ref="Y100" si="300">X100*U100</f>
        <v>0</v>
      </c>
      <c r="Z100" s="286">
        <v>1</v>
      </c>
      <c r="AA100" s="286">
        <f t="shared" ref="AA100" si="301">Y100*Z100</f>
        <v>0</v>
      </c>
      <c r="AB100" s="286">
        <f t="shared" ref="AB100" si="302">IF(O100&gt;0,0,AA100+V100*Z100)*Z100</f>
        <v>932.16575192096616</v>
      </c>
      <c r="AC100" s="286">
        <f t="shared" ref="AC100" si="303">IF(O100&gt;0,(N100-AA100)/2,IF(AD100&gt;=AG100,(((N100*U100)*Z100)-AB100)/2,((((N100*U100)*Z100)-AA100)+(((N100*U100)*Z100)-AB100))/2))</f>
        <v>3779.9321240395175</v>
      </c>
      <c r="AD100" s="286">
        <f>$E100+(($F100-1)/12)</f>
        <v>2017</v>
      </c>
      <c r="AE100" s="286">
        <f t="shared" si="292"/>
        <v>2018</v>
      </c>
      <c r="AF100" s="286">
        <f>$K100+(($F100-1)/12)</f>
        <v>2026.11</v>
      </c>
      <c r="AG100" s="286">
        <f t="shared" si="293"/>
        <v>2017</v>
      </c>
      <c r="AH100" s="286">
        <f>$L100+(($M100-1)/12)</f>
        <v>-8.3333333333333329E-2</v>
      </c>
      <c r="AJ100" s="11">
        <f t="shared" si="250"/>
        <v>0</v>
      </c>
      <c r="AL100" s="11">
        <f t="shared" si="251"/>
        <v>932.16575192096616</v>
      </c>
      <c r="AN100" s="11">
        <f t="shared" si="252"/>
        <v>0</v>
      </c>
      <c r="AP100" s="11">
        <f t="shared" si="253"/>
        <v>0</v>
      </c>
      <c r="AR100" s="11">
        <f t="shared" si="254"/>
        <v>3779.9321240395175</v>
      </c>
    </row>
    <row r="101" spans="1:44">
      <c r="B101" s="284"/>
      <c r="D101" s="306"/>
      <c r="G101" s="307"/>
      <c r="H101" s="286"/>
      <c r="I101" s="308"/>
      <c r="K101" s="309"/>
      <c r="N101" s="2"/>
      <c r="O101" s="310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</row>
    <row r="102" spans="1:44">
      <c r="B102" s="284"/>
      <c r="D102" s="294" t="s">
        <v>141</v>
      </c>
      <c r="G102" s="307"/>
      <c r="H102" s="286"/>
      <c r="I102" s="308"/>
      <c r="K102" s="309"/>
      <c r="N102" s="314">
        <f>SUM(N90:N101)</f>
        <v>658407.26369230764</v>
      </c>
      <c r="O102" s="327"/>
      <c r="P102" s="316">
        <f>SUM(P90:P101)</f>
        <v>516306.08179230778</v>
      </c>
      <c r="Q102" s="316">
        <f>SUM(Q90:Q101)</f>
        <v>6300.142035389018</v>
      </c>
      <c r="R102" s="316">
        <f>SUM(R90:R101)</f>
        <v>10010.194457049294</v>
      </c>
      <c r="S102" s="316">
        <f>SUM(S90:S101)</f>
        <v>0</v>
      </c>
      <c r="T102" s="316">
        <f>SUM(T90:T101)</f>
        <v>10010.194457049294</v>
      </c>
      <c r="U102" s="316"/>
      <c r="V102" s="316">
        <f>SUM(V90:V101)</f>
        <v>10010.194457049294</v>
      </c>
      <c r="W102" s="323"/>
      <c r="X102" s="323"/>
      <c r="Y102" s="323"/>
      <c r="Z102" s="323"/>
      <c r="AA102" s="316">
        <f>SUM(AA90:AA101)</f>
        <v>425770.019561539</v>
      </c>
      <c r="AB102" s="316">
        <f>SUM(AB90:AB101)</f>
        <v>435780.21401858819</v>
      </c>
      <c r="AC102" s="316">
        <f>SUM(AC90:AC101)</f>
        <v>204788.13190224415</v>
      </c>
      <c r="AD102" s="323"/>
      <c r="AE102" s="323"/>
      <c r="AF102" s="323"/>
      <c r="AG102" s="323"/>
      <c r="AH102" s="323"/>
      <c r="AJ102" s="10">
        <f t="shared" ref="AJ102:AR102" si="304">SUM(AJ90:AJ101)</f>
        <v>47367.060633333327</v>
      </c>
      <c r="AK102" s="10">
        <f t="shared" si="304"/>
        <v>0</v>
      </c>
      <c r="AL102" s="10">
        <f t="shared" si="304"/>
        <v>57377.255090382627</v>
      </c>
      <c r="AM102" s="10">
        <f t="shared" si="304"/>
        <v>0</v>
      </c>
      <c r="AN102" s="10">
        <f t="shared" si="304"/>
        <v>-123037.5279</v>
      </c>
      <c r="AO102" s="10">
        <f t="shared" si="304"/>
        <v>0</v>
      </c>
      <c r="AP102" s="10">
        <f t="shared" si="304"/>
        <v>410.21900000001006</v>
      </c>
      <c r="AQ102" s="10">
        <f t="shared" si="304"/>
        <v>0</v>
      </c>
      <c r="AR102" s="10">
        <f t="shared" si="304"/>
        <v>81672.995002244148</v>
      </c>
    </row>
    <row r="103" spans="1:44">
      <c r="B103" s="284"/>
      <c r="D103" s="294"/>
      <c r="G103" s="307"/>
      <c r="H103" s="286"/>
      <c r="I103" s="308"/>
      <c r="K103" s="309"/>
      <c r="N103" s="288"/>
      <c r="P103" s="313"/>
      <c r="Q103" s="313"/>
      <c r="R103" s="313"/>
      <c r="S103" s="313"/>
      <c r="T103" s="313"/>
      <c r="U103" s="313"/>
      <c r="V103" s="313"/>
      <c r="W103" s="286"/>
      <c r="X103" s="286"/>
      <c r="Y103" s="286"/>
      <c r="Z103" s="286"/>
      <c r="AA103" s="313"/>
      <c r="AB103" s="313"/>
      <c r="AC103" s="313"/>
      <c r="AD103" s="286"/>
      <c r="AE103" s="286"/>
      <c r="AF103" s="286"/>
      <c r="AG103" s="286"/>
      <c r="AH103" s="286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 spans="1:44">
      <c r="B104" s="284"/>
      <c r="D104" s="306" t="s">
        <v>449</v>
      </c>
      <c r="G104" s="307"/>
      <c r="H104" s="286"/>
      <c r="I104" s="308"/>
      <c r="K104" s="309"/>
      <c r="N104" s="288"/>
      <c r="P104" s="313"/>
      <c r="Q104" s="313"/>
      <c r="R104" s="313"/>
      <c r="S104" s="313"/>
      <c r="T104" s="313"/>
      <c r="U104" s="313"/>
      <c r="V104" s="313"/>
      <c r="W104" s="286"/>
      <c r="X104" s="286"/>
      <c r="Y104" s="286"/>
      <c r="Z104" s="286"/>
      <c r="AA104" s="313"/>
      <c r="AB104" s="313"/>
      <c r="AC104" s="313"/>
      <c r="AD104" s="286"/>
      <c r="AE104" s="286"/>
      <c r="AF104" s="286"/>
      <c r="AG104" s="286"/>
      <c r="AH104" s="286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 spans="1:44">
      <c r="A105" s="282">
        <v>183686</v>
      </c>
      <c r="B105" s="284" t="s">
        <v>331</v>
      </c>
      <c r="C105" s="309">
        <v>44</v>
      </c>
      <c r="D105" s="306" t="s">
        <v>402</v>
      </c>
      <c r="E105" s="282">
        <v>2017</v>
      </c>
      <c r="F105" s="284">
        <v>6</v>
      </c>
      <c r="G105" s="307">
        <v>0</v>
      </c>
      <c r="H105" s="286"/>
      <c r="I105" s="308" t="s">
        <v>86</v>
      </c>
      <c r="J105" s="284">
        <v>3</v>
      </c>
      <c r="K105" s="309">
        <f t="shared" ref="K105:K114" si="305">E105+J105</f>
        <v>2020</v>
      </c>
      <c r="N105" s="285">
        <v>5000</v>
      </c>
      <c r="O105" s="310"/>
      <c r="P105" s="286">
        <f t="shared" ref="P105" si="306">N105-N105*G105</f>
        <v>5000</v>
      </c>
      <c r="Q105" s="286">
        <f t="shared" ref="Q105" si="307">P105/J105/12</f>
        <v>138.88888888888889</v>
      </c>
      <c r="R105" s="286">
        <f t="shared" ref="R105" si="308">IF(O105&gt;0,0,IF(OR(AD105&gt;AE105,AF105&lt;AG105),0,IF(AND(AF105&gt;=AG105,AF105&lt;=AE105),Q105*((AF105-AG105)*12),IF(AND(AG105&lt;=AD105,AE105&gt;=AD105),((AE105-AD105)*12)*Q105,IF(AF105&gt;AE105,12*Q105,0)))))</f>
        <v>972.22222222209587</v>
      </c>
      <c r="S105" s="286"/>
      <c r="T105" s="286">
        <f t="shared" ref="T105" si="309">IF(S105&gt;0,S105,R105)</f>
        <v>972.22222222209587</v>
      </c>
      <c r="U105" s="286">
        <v>1</v>
      </c>
      <c r="V105" s="286">
        <f t="shared" ref="V105" si="310">U105*SUM(R105:S105)</f>
        <v>972.22222222209587</v>
      </c>
      <c r="W105" s="286"/>
      <c r="X105" s="286">
        <f t="shared" ref="X105" si="311">IF(AD105&gt;AE105,0,IF(AF105&lt;AG105,P105,IF(AND(AF105&gt;=AG105,AF105&lt;=AE105),(P105-T105),IF(AND(AG105&lt;=AD105,AE105&gt;=AD105),0,IF(AF105&gt;AE105,((AG105-AD105)*12)*Q105,0)))))</f>
        <v>0</v>
      </c>
      <c r="Y105" s="286">
        <f t="shared" ref="Y105" si="312">X105*U105</f>
        <v>0</v>
      </c>
      <c r="Z105" s="286">
        <v>1</v>
      </c>
      <c r="AA105" s="286">
        <f t="shared" ref="AA105" si="313">Y105*Z105</f>
        <v>0</v>
      </c>
      <c r="AB105" s="286">
        <f t="shared" ref="AB105" si="314">IF(O105&gt;0,0,AA105+V105*Z105)*Z105</f>
        <v>972.22222222209587</v>
      </c>
      <c r="AC105" s="286">
        <f t="shared" ref="AC105" si="315">IF(O105&gt;0,(N105-AA105)/2,IF(AD105&gt;=AG105,(((N105*U105)*Z105)-AB105)/2,((((N105*U105)*Z105)-AA105)+(((N105*U105)*Z105)-AB105))/2))</f>
        <v>2013.8888888889521</v>
      </c>
      <c r="AD105" s="286">
        <f t="shared" ref="AD105:AD114" si="316">$E105+(($F105-1)/12)</f>
        <v>2017.4166666666667</v>
      </c>
      <c r="AE105" s="286">
        <f t="shared" si="12"/>
        <v>2018</v>
      </c>
      <c r="AF105" s="286">
        <f t="shared" ref="AF105:AF114" si="317">$K105+(($F105-1)/12)</f>
        <v>2020.4166666666667</v>
      </c>
      <c r="AG105" s="286">
        <f t="shared" si="14"/>
        <v>2017</v>
      </c>
      <c r="AH105" s="286">
        <f t="shared" ref="AH105:AH114" si="318">$L105+(($M105-1)/12)</f>
        <v>-8.3333333333333329E-2</v>
      </c>
      <c r="AJ105" s="11">
        <f t="shared" ref="AJ105:AJ114" si="319">+IF((AF105-AG105)&gt;3,((N105-P105)/(AF105-AG105)),(N105-P105)/3)</f>
        <v>0</v>
      </c>
      <c r="AL105" s="11">
        <f t="shared" ref="AL105:AL114" si="320">+AJ105+R105</f>
        <v>972.22222222209587</v>
      </c>
      <c r="AN105" s="11">
        <f t="shared" ref="AN105:AN114" si="321">+IF(AF105&lt;AG105,-AC105,0)</f>
        <v>0</v>
      </c>
      <c r="AP105" s="11">
        <f t="shared" ref="AP105:AP114" si="322">+IF(AF105&gt;AG105,IF(AJ105&gt;0,IF(O105&gt;0,(N105-AA105)/2,IF(AD105&gt;=AG105,(((N105*U105)*Z105)-(AB105+AJ105))/2,((((N105*U105)*Z105)-AA105)+(((N105*U105)*Z105)-(AB105+AJ105)))/2)),0),0)</f>
        <v>0</v>
      </c>
      <c r="AR105" s="11">
        <f t="shared" ref="AR105:AR114" si="323">+AC105+AN105+(IF(AP105&gt;0,(AP105-AC105),0))</f>
        <v>2013.8888888889521</v>
      </c>
    </row>
    <row r="106" spans="1:44">
      <c r="A106" s="282">
        <v>183685</v>
      </c>
      <c r="B106" s="284" t="s">
        <v>331</v>
      </c>
      <c r="C106" s="309">
        <v>42</v>
      </c>
      <c r="D106" s="306" t="s">
        <v>403</v>
      </c>
      <c r="E106" s="282">
        <v>2017</v>
      </c>
      <c r="F106" s="284">
        <v>6</v>
      </c>
      <c r="G106" s="307">
        <v>0</v>
      </c>
      <c r="H106" s="286"/>
      <c r="I106" s="308" t="s">
        <v>86</v>
      </c>
      <c r="J106" s="284">
        <v>7</v>
      </c>
      <c r="K106" s="309">
        <f t="shared" si="305"/>
        <v>2024</v>
      </c>
      <c r="N106" s="285">
        <v>33000</v>
      </c>
      <c r="O106" s="310"/>
      <c r="P106" s="286">
        <f t="shared" ref="P106" si="324">N106-N106*G106</f>
        <v>33000</v>
      </c>
      <c r="Q106" s="286">
        <f t="shared" ref="Q106" si="325">P106/J106/12</f>
        <v>392.85714285714289</v>
      </c>
      <c r="R106" s="286">
        <f t="shared" ref="R106" si="326">IF(O106&gt;0,0,IF(OR(AD106&gt;AE106,AF106&lt;AG106),0,IF(AND(AF106&gt;=AG106,AF106&lt;=AE106),Q106*((AF106-AG106)*12),IF(AND(AG106&lt;=AD106,AE106&gt;=AD106),((AE106-AD106)*12)*Q106,IF(AF106&gt;AE106,12*Q106,0)))))</f>
        <v>2749.999999999643</v>
      </c>
      <c r="S106" s="286"/>
      <c r="T106" s="286">
        <f t="shared" ref="T106" si="327">IF(S106&gt;0,S106,R106)</f>
        <v>2749.999999999643</v>
      </c>
      <c r="U106" s="286">
        <v>1</v>
      </c>
      <c r="V106" s="286">
        <f t="shared" ref="V106" si="328">U106*SUM(R106:S106)</f>
        <v>2749.999999999643</v>
      </c>
      <c r="W106" s="286"/>
      <c r="X106" s="286">
        <f t="shared" ref="X106" si="329">IF(AD106&gt;AE106,0,IF(AF106&lt;AG106,P106,IF(AND(AF106&gt;=AG106,AF106&lt;=AE106),(P106-T106),IF(AND(AG106&lt;=AD106,AE106&gt;=AD106),0,IF(AF106&gt;AE106,((AG106-AD106)*12)*Q106,0)))))</f>
        <v>0</v>
      </c>
      <c r="Y106" s="286">
        <f t="shared" ref="Y106" si="330">X106*U106</f>
        <v>0</v>
      </c>
      <c r="Z106" s="286">
        <v>1</v>
      </c>
      <c r="AA106" s="286">
        <f t="shared" ref="AA106" si="331">Y106*Z106</f>
        <v>0</v>
      </c>
      <c r="AB106" s="286">
        <f t="shared" ref="AB106" si="332">IF(O106&gt;0,0,AA106+V106*Z106)*Z106</f>
        <v>2749.999999999643</v>
      </c>
      <c r="AC106" s="286">
        <f t="shared" ref="AC106" si="333">IF(O106&gt;0,(N106-AA106)/2,IF(AD106&gt;=AG106,(((N106*U106)*Z106)-AB106)/2,((((N106*U106)*Z106)-AA106)+(((N106*U106)*Z106)-AB106))/2))</f>
        <v>15125.000000000178</v>
      </c>
      <c r="AD106" s="286">
        <f t="shared" si="316"/>
        <v>2017.4166666666667</v>
      </c>
      <c r="AE106" s="286">
        <f t="shared" si="12"/>
        <v>2018</v>
      </c>
      <c r="AF106" s="286">
        <f t="shared" si="317"/>
        <v>2024.4166666666667</v>
      </c>
      <c r="AG106" s="286">
        <f t="shared" si="14"/>
        <v>2017</v>
      </c>
      <c r="AH106" s="286">
        <f t="shared" si="318"/>
        <v>-8.3333333333333329E-2</v>
      </c>
      <c r="AJ106" s="11">
        <f t="shared" si="319"/>
        <v>0</v>
      </c>
      <c r="AL106" s="11">
        <f t="shared" si="320"/>
        <v>2749.999999999643</v>
      </c>
      <c r="AN106" s="11">
        <f t="shared" si="321"/>
        <v>0</v>
      </c>
      <c r="AP106" s="11">
        <f t="shared" si="322"/>
        <v>0</v>
      </c>
      <c r="AR106" s="11">
        <f t="shared" si="323"/>
        <v>15125.000000000178</v>
      </c>
    </row>
    <row r="107" spans="1:44">
      <c r="A107" s="282">
        <v>183684</v>
      </c>
      <c r="B107" s="284" t="s">
        <v>331</v>
      </c>
      <c r="C107" s="309">
        <v>40</v>
      </c>
      <c r="D107" s="306" t="s">
        <v>404</v>
      </c>
      <c r="E107" s="282">
        <v>2017</v>
      </c>
      <c r="F107" s="284">
        <v>6</v>
      </c>
      <c r="G107" s="307">
        <v>0</v>
      </c>
      <c r="H107" s="286"/>
      <c r="I107" s="308" t="s">
        <v>86</v>
      </c>
      <c r="J107" s="284">
        <v>7</v>
      </c>
      <c r="K107" s="309">
        <f t="shared" si="305"/>
        <v>2024</v>
      </c>
      <c r="N107" s="285">
        <v>231300</v>
      </c>
      <c r="O107" s="310"/>
      <c r="P107" s="286">
        <f t="shared" ref="P107:P111" si="334">N107-N107*G107</f>
        <v>231300</v>
      </c>
      <c r="Q107" s="286">
        <f t="shared" ref="Q107" si="335">P107/J107/12</f>
        <v>2753.5714285714289</v>
      </c>
      <c r="R107" s="286">
        <f t="shared" ref="R107" si="336">IF(O107&gt;0,0,IF(OR(AD107&gt;AE107,AF107&lt;AG107),0,IF(AND(AF107&gt;=AG107,AF107&lt;=AE107),Q107*((AF107-AG107)*12),IF(AND(AG107&lt;=AD107,AE107&gt;=AD107),((AE107-AD107)*12)*Q107,IF(AF107&gt;AE107,12*Q107,0)))))</f>
        <v>19274.999999997497</v>
      </c>
      <c r="S107" s="286"/>
      <c r="T107" s="286">
        <f t="shared" ref="T107" si="337">IF(S107&gt;0,S107,R107)</f>
        <v>19274.999999997497</v>
      </c>
      <c r="U107" s="286">
        <v>1</v>
      </c>
      <c r="V107" s="286">
        <f t="shared" ref="V107" si="338">U107*SUM(R107:S107)</f>
        <v>19274.999999997497</v>
      </c>
      <c r="W107" s="286"/>
      <c r="X107" s="286">
        <f t="shared" ref="X107" si="339">IF(AD107&gt;AE107,0,IF(AF107&lt;AG107,P107,IF(AND(AF107&gt;=AG107,AF107&lt;=AE107),(P107-T107),IF(AND(AG107&lt;=AD107,AE107&gt;=AD107),0,IF(AF107&gt;AE107,((AG107-AD107)*12)*Q107,0)))))</f>
        <v>0</v>
      </c>
      <c r="Y107" s="286">
        <f t="shared" ref="Y107" si="340">X107*U107</f>
        <v>0</v>
      </c>
      <c r="Z107" s="286">
        <v>1</v>
      </c>
      <c r="AA107" s="286">
        <f t="shared" ref="AA107" si="341">Y107*Z107</f>
        <v>0</v>
      </c>
      <c r="AB107" s="286">
        <f t="shared" ref="AB107" si="342">IF(O107&gt;0,0,AA107+V107*Z107)*Z107</f>
        <v>19274.999999997497</v>
      </c>
      <c r="AC107" s="286">
        <f t="shared" ref="AC107" si="343">IF(O107&gt;0,(N107-AA107)/2,IF(AD107&gt;=AG107,(((N107*U107)*Z107)-AB107)/2,((((N107*U107)*Z107)-AA107)+(((N107*U107)*Z107)-AB107))/2))</f>
        <v>106012.50000000125</v>
      </c>
      <c r="AD107" s="286">
        <f t="shared" si="316"/>
        <v>2017.4166666666667</v>
      </c>
      <c r="AE107" s="286">
        <f t="shared" si="12"/>
        <v>2018</v>
      </c>
      <c r="AF107" s="286">
        <f t="shared" si="317"/>
        <v>2024.4166666666667</v>
      </c>
      <c r="AG107" s="286">
        <f t="shared" si="14"/>
        <v>2017</v>
      </c>
      <c r="AH107" s="286">
        <f t="shared" si="318"/>
        <v>-8.3333333333333329E-2</v>
      </c>
      <c r="AJ107" s="11">
        <f t="shared" si="319"/>
        <v>0</v>
      </c>
      <c r="AL107" s="11">
        <f t="shared" si="320"/>
        <v>19274.999999997497</v>
      </c>
      <c r="AN107" s="11">
        <f t="shared" si="321"/>
        <v>0</v>
      </c>
      <c r="AP107" s="11">
        <f t="shared" si="322"/>
        <v>0</v>
      </c>
      <c r="AR107" s="11">
        <f t="shared" si="323"/>
        <v>106012.50000000125</v>
      </c>
    </row>
    <row r="108" spans="1:44">
      <c r="A108" s="282">
        <v>183683</v>
      </c>
      <c r="B108" s="284" t="s">
        <v>331</v>
      </c>
      <c r="C108" s="309">
        <v>43</v>
      </c>
      <c r="D108" s="306" t="s">
        <v>405</v>
      </c>
      <c r="E108" s="282">
        <v>2017</v>
      </c>
      <c r="F108" s="284">
        <v>6</v>
      </c>
      <c r="G108" s="307">
        <v>0</v>
      </c>
      <c r="H108" s="286"/>
      <c r="I108" s="308" t="s">
        <v>86</v>
      </c>
      <c r="J108" s="284">
        <v>3</v>
      </c>
      <c r="K108" s="309">
        <f t="shared" si="305"/>
        <v>2020</v>
      </c>
      <c r="N108" s="285">
        <v>5000</v>
      </c>
      <c r="O108" s="310"/>
      <c r="P108" s="286">
        <f t="shared" si="334"/>
        <v>5000</v>
      </c>
      <c r="Q108" s="286">
        <f t="shared" ref="Q108" si="344">P108/J108/12</f>
        <v>138.88888888888889</v>
      </c>
      <c r="R108" s="286">
        <f t="shared" ref="R108" si="345">IF(O108&gt;0,0,IF(OR(AD108&gt;AE108,AF108&lt;AG108),0,IF(AND(AF108&gt;=AG108,AF108&lt;=AE108),Q108*((AF108-AG108)*12),IF(AND(AG108&lt;=AD108,AE108&gt;=AD108),((AE108-AD108)*12)*Q108,IF(AF108&gt;AE108,12*Q108,0)))))</f>
        <v>972.22222222209587</v>
      </c>
      <c r="S108" s="286"/>
      <c r="T108" s="286">
        <f t="shared" ref="T108" si="346">IF(S108&gt;0,S108,R108)</f>
        <v>972.22222222209587</v>
      </c>
      <c r="U108" s="286">
        <v>1</v>
      </c>
      <c r="V108" s="286">
        <f t="shared" ref="V108" si="347">U108*SUM(R108:S108)</f>
        <v>972.22222222209587</v>
      </c>
      <c r="W108" s="286"/>
      <c r="X108" s="286">
        <f t="shared" ref="X108" si="348">IF(AD108&gt;AE108,0,IF(AF108&lt;AG108,P108,IF(AND(AF108&gt;=AG108,AF108&lt;=AE108),(P108-T108),IF(AND(AG108&lt;=AD108,AE108&gt;=AD108),0,IF(AF108&gt;AE108,((AG108-AD108)*12)*Q108,0)))))</f>
        <v>0</v>
      </c>
      <c r="Y108" s="286">
        <f t="shared" ref="Y108" si="349">X108*U108</f>
        <v>0</v>
      </c>
      <c r="Z108" s="286">
        <v>1</v>
      </c>
      <c r="AA108" s="286">
        <f t="shared" ref="AA108" si="350">Y108*Z108</f>
        <v>0</v>
      </c>
      <c r="AB108" s="286">
        <f t="shared" ref="AB108" si="351">IF(O108&gt;0,0,AA108+V108*Z108)*Z108</f>
        <v>972.22222222209587</v>
      </c>
      <c r="AC108" s="286">
        <f t="shared" ref="AC108" si="352">IF(O108&gt;0,(N108-AA108)/2,IF(AD108&gt;=AG108,(((N108*U108)*Z108)-AB108)/2,((((N108*U108)*Z108)-AA108)+(((N108*U108)*Z108)-AB108))/2))</f>
        <v>2013.8888888889521</v>
      </c>
      <c r="AD108" s="286">
        <f t="shared" si="316"/>
        <v>2017.4166666666667</v>
      </c>
      <c r="AE108" s="286">
        <f t="shared" si="12"/>
        <v>2018</v>
      </c>
      <c r="AF108" s="286">
        <f t="shared" si="317"/>
        <v>2020.4166666666667</v>
      </c>
      <c r="AG108" s="286">
        <f t="shared" si="14"/>
        <v>2017</v>
      </c>
      <c r="AH108" s="286">
        <f t="shared" si="318"/>
        <v>-8.3333333333333329E-2</v>
      </c>
      <c r="AJ108" s="11">
        <f t="shared" si="319"/>
        <v>0</v>
      </c>
      <c r="AL108" s="11">
        <f t="shared" si="320"/>
        <v>972.22222222209587</v>
      </c>
      <c r="AN108" s="11">
        <f t="shared" si="321"/>
        <v>0</v>
      </c>
      <c r="AP108" s="11">
        <f t="shared" si="322"/>
        <v>0</v>
      </c>
      <c r="AR108" s="11">
        <f t="shared" si="323"/>
        <v>2013.8888888889521</v>
      </c>
    </row>
    <row r="109" spans="1:44">
      <c r="A109" s="282">
        <v>183682</v>
      </c>
      <c r="B109" s="284" t="s">
        <v>331</v>
      </c>
      <c r="C109" s="309">
        <v>41</v>
      </c>
      <c r="D109" s="306" t="s">
        <v>406</v>
      </c>
      <c r="E109" s="282">
        <v>2017</v>
      </c>
      <c r="F109" s="284">
        <v>6</v>
      </c>
      <c r="G109" s="307">
        <v>0</v>
      </c>
      <c r="H109" s="286"/>
      <c r="I109" s="308" t="s">
        <v>86</v>
      </c>
      <c r="J109" s="284">
        <v>6</v>
      </c>
      <c r="K109" s="309">
        <f t="shared" si="305"/>
        <v>2023</v>
      </c>
      <c r="N109" s="285">
        <v>215000</v>
      </c>
      <c r="O109" s="310"/>
      <c r="P109" s="286">
        <f t="shared" si="334"/>
        <v>215000</v>
      </c>
      <c r="Q109" s="286">
        <f t="shared" ref="Q109" si="353">P109/J109/12</f>
        <v>2986.1111111111113</v>
      </c>
      <c r="R109" s="286">
        <f t="shared" ref="R109" si="354">IF(O109&gt;0,0,IF(OR(AD109&gt;AE109,AF109&lt;AG109),0,IF(AND(AF109&gt;=AG109,AF109&lt;=AE109),Q109*((AF109-AG109)*12),IF(AND(AG109&lt;=AD109,AE109&gt;=AD109),((AE109-AD109)*12)*Q109,IF(AF109&gt;AE109,12*Q109,0)))))</f>
        <v>20902.777777775063</v>
      </c>
      <c r="S109" s="286"/>
      <c r="T109" s="286">
        <f t="shared" ref="T109" si="355">IF(S109&gt;0,S109,R109)</f>
        <v>20902.777777775063</v>
      </c>
      <c r="U109" s="286">
        <v>1</v>
      </c>
      <c r="V109" s="286">
        <f t="shared" ref="V109" si="356">U109*SUM(R109:S109)</f>
        <v>20902.777777775063</v>
      </c>
      <c r="W109" s="286"/>
      <c r="X109" s="286">
        <f t="shared" ref="X109" si="357">IF(AD109&gt;AE109,0,IF(AF109&lt;AG109,P109,IF(AND(AF109&gt;=AG109,AF109&lt;=AE109),(P109-T109),IF(AND(AG109&lt;=AD109,AE109&gt;=AD109),0,IF(AF109&gt;AE109,((AG109-AD109)*12)*Q109,0)))))</f>
        <v>0</v>
      </c>
      <c r="Y109" s="286">
        <f t="shared" ref="Y109" si="358">X109*U109</f>
        <v>0</v>
      </c>
      <c r="Z109" s="286">
        <v>1</v>
      </c>
      <c r="AA109" s="286">
        <f t="shared" ref="AA109" si="359">Y109*Z109</f>
        <v>0</v>
      </c>
      <c r="AB109" s="286">
        <f t="shared" ref="AB109" si="360">IF(O109&gt;0,0,AA109+V109*Z109)*Z109</f>
        <v>20902.777777775063</v>
      </c>
      <c r="AC109" s="286">
        <f t="shared" ref="AC109" si="361">IF(O109&gt;0,(N109-AA109)/2,IF(AD109&gt;=AG109,(((N109*U109)*Z109)-AB109)/2,((((N109*U109)*Z109)-AA109)+(((N109*U109)*Z109)-AB109))/2))</f>
        <v>97048.611111112463</v>
      </c>
      <c r="AD109" s="286">
        <f t="shared" si="316"/>
        <v>2017.4166666666667</v>
      </c>
      <c r="AE109" s="286">
        <f t="shared" si="12"/>
        <v>2018</v>
      </c>
      <c r="AF109" s="286">
        <f t="shared" si="317"/>
        <v>2023.4166666666667</v>
      </c>
      <c r="AG109" s="286">
        <f t="shared" si="14"/>
        <v>2017</v>
      </c>
      <c r="AH109" s="286">
        <f t="shared" si="318"/>
        <v>-8.3333333333333329E-2</v>
      </c>
      <c r="AJ109" s="11">
        <f t="shared" si="319"/>
        <v>0</v>
      </c>
      <c r="AL109" s="11">
        <f t="shared" si="320"/>
        <v>20902.777777775063</v>
      </c>
      <c r="AN109" s="11">
        <f t="shared" si="321"/>
        <v>0</v>
      </c>
      <c r="AP109" s="11">
        <f t="shared" si="322"/>
        <v>0</v>
      </c>
      <c r="AR109" s="11">
        <f t="shared" si="323"/>
        <v>97048.611111112463</v>
      </c>
    </row>
    <row r="110" spans="1:44">
      <c r="A110" s="282" t="s">
        <v>407</v>
      </c>
      <c r="B110" s="284"/>
      <c r="C110" s="309">
        <v>41</v>
      </c>
      <c r="D110" s="306" t="s">
        <v>408</v>
      </c>
      <c r="E110" s="282">
        <v>2017</v>
      </c>
      <c r="F110" s="284">
        <v>6</v>
      </c>
      <c r="G110" s="307">
        <v>0</v>
      </c>
      <c r="H110" s="286"/>
      <c r="I110" s="308" t="s">
        <v>86</v>
      </c>
      <c r="J110" s="284">
        <v>5</v>
      </c>
      <c r="K110" s="309">
        <f t="shared" si="305"/>
        <v>2022</v>
      </c>
      <c r="N110" s="285">
        <v>15667.9</v>
      </c>
      <c r="O110" s="310"/>
      <c r="P110" s="286">
        <f t="shared" si="334"/>
        <v>15667.9</v>
      </c>
      <c r="Q110" s="286">
        <f t="shared" ref="Q110" si="362">P110/J110/12</f>
        <v>261.13166666666666</v>
      </c>
      <c r="R110" s="286">
        <f t="shared" ref="R110" si="363">IF(O110&gt;0,0,IF(OR(AD110&gt;AE110,AF110&lt;AG110),0,IF(AND(AF110&gt;=AG110,AF110&lt;=AE110),Q110*((AF110-AG110)*12),IF(AND(AG110&lt;=AD110,AE110&gt;=AD110),((AE110-AD110)*12)*Q110,IF(AF110&gt;AE110,12*Q110,0)))))</f>
        <v>1827.921666666429</v>
      </c>
      <c r="S110" s="286"/>
      <c r="T110" s="286">
        <f t="shared" ref="T110" si="364">IF(S110&gt;0,S110,R110)</f>
        <v>1827.921666666429</v>
      </c>
      <c r="U110" s="286">
        <v>1</v>
      </c>
      <c r="V110" s="286">
        <f t="shared" ref="V110" si="365">U110*SUM(R110:S110)</f>
        <v>1827.921666666429</v>
      </c>
      <c r="W110" s="286"/>
      <c r="X110" s="286">
        <f t="shared" ref="X110" si="366">IF(AD110&gt;AE110,0,IF(AF110&lt;AG110,P110,IF(AND(AF110&gt;=AG110,AF110&lt;=AE110),(P110-T110),IF(AND(AG110&lt;=AD110,AE110&gt;=AD110),0,IF(AF110&gt;AE110,((AG110-AD110)*12)*Q110,0)))))</f>
        <v>0</v>
      </c>
      <c r="Y110" s="286">
        <f t="shared" ref="Y110" si="367">X110*U110</f>
        <v>0</v>
      </c>
      <c r="Z110" s="286">
        <v>1</v>
      </c>
      <c r="AA110" s="286">
        <f t="shared" ref="AA110" si="368">Y110*Z110</f>
        <v>0</v>
      </c>
      <c r="AB110" s="286">
        <f t="shared" ref="AB110" si="369">IF(O110&gt;0,0,AA110+V110*Z110)*Z110</f>
        <v>1827.921666666429</v>
      </c>
      <c r="AC110" s="286">
        <f t="shared" ref="AC110" si="370">IF(O110&gt;0,(N110-AA110)/2,IF(AD110&gt;=AG110,(((N110*U110)*Z110)-AB110)/2,((((N110*U110)*Z110)-AA110)+(((N110*U110)*Z110)-AB110))/2))</f>
        <v>6919.9891666667854</v>
      </c>
      <c r="AD110" s="286">
        <f t="shared" si="316"/>
        <v>2017.4166666666667</v>
      </c>
      <c r="AE110" s="286">
        <f t="shared" si="12"/>
        <v>2018</v>
      </c>
      <c r="AF110" s="286">
        <f t="shared" si="317"/>
        <v>2022.4166666666667</v>
      </c>
      <c r="AG110" s="286">
        <f t="shared" si="14"/>
        <v>2017</v>
      </c>
      <c r="AH110" s="286">
        <f t="shared" si="318"/>
        <v>-8.3333333333333329E-2</v>
      </c>
      <c r="AJ110" s="11">
        <f t="shared" si="319"/>
        <v>0</v>
      </c>
      <c r="AL110" s="11">
        <f t="shared" si="320"/>
        <v>1827.921666666429</v>
      </c>
      <c r="AN110" s="11">
        <f t="shared" si="321"/>
        <v>0</v>
      </c>
      <c r="AP110" s="11">
        <f t="shared" si="322"/>
        <v>0</v>
      </c>
      <c r="AR110" s="11">
        <f t="shared" si="323"/>
        <v>6919.9891666667854</v>
      </c>
    </row>
    <row r="111" spans="1:44">
      <c r="A111" s="282" t="s">
        <v>409</v>
      </c>
      <c r="B111" s="284"/>
      <c r="C111" s="309">
        <v>40</v>
      </c>
      <c r="D111" s="306" t="s">
        <v>408</v>
      </c>
      <c r="E111" s="282">
        <v>2017</v>
      </c>
      <c r="F111" s="284">
        <v>6</v>
      </c>
      <c r="G111" s="307">
        <v>0</v>
      </c>
      <c r="H111" s="286"/>
      <c r="I111" s="308" t="s">
        <v>86</v>
      </c>
      <c r="J111" s="284">
        <v>6</v>
      </c>
      <c r="K111" s="309">
        <f t="shared" si="305"/>
        <v>2023</v>
      </c>
      <c r="N111" s="285">
        <v>19460.7</v>
      </c>
      <c r="O111" s="310"/>
      <c r="P111" s="286">
        <f t="shared" si="334"/>
        <v>19460.7</v>
      </c>
      <c r="Q111" s="286">
        <f t="shared" ref="Q111" si="371">P111/J111/12</f>
        <v>270.28750000000002</v>
      </c>
      <c r="R111" s="286">
        <f t="shared" ref="R111" si="372">IF(O111&gt;0,0,IF(OR(AD111&gt;AE111,AF111&lt;AG111),0,IF(AND(AF111&gt;=AG111,AF111&lt;=AE111),Q111*((AF111-AG111)*12),IF(AND(AG111&lt;=AD111,AE111&gt;=AD111),((AE111-AD111)*12)*Q111,IF(AF111&gt;AE111,12*Q111,0)))))</f>
        <v>1892.0124999997543</v>
      </c>
      <c r="S111" s="286"/>
      <c r="T111" s="286">
        <f t="shared" ref="T111" si="373">IF(S111&gt;0,S111,R111)</f>
        <v>1892.0124999997543</v>
      </c>
      <c r="U111" s="286">
        <v>1</v>
      </c>
      <c r="V111" s="286">
        <f t="shared" ref="V111" si="374">U111*SUM(R111:S111)</f>
        <v>1892.0124999997543</v>
      </c>
      <c r="W111" s="286"/>
      <c r="X111" s="286">
        <f t="shared" ref="X111" si="375">IF(AD111&gt;AE111,0,IF(AF111&lt;AG111,P111,IF(AND(AF111&gt;=AG111,AF111&lt;=AE111),(P111-T111),IF(AND(AG111&lt;=AD111,AE111&gt;=AD111),0,IF(AF111&gt;AE111,((AG111-AD111)*12)*Q111,0)))))</f>
        <v>0</v>
      </c>
      <c r="Y111" s="286">
        <f t="shared" ref="Y111" si="376">X111*U111</f>
        <v>0</v>
      </c>
      <c r="Z111" s="286">
        <v>1</v>
      </c>
      <c r="AA111" s="286">
        <f t="shared" ref="AA111" si="377">Y111*Z111</f>
        <v>0</v>
      </c>
      <c r="AB111" s="286">
        <f t="shared" ref="AB111" si="378">IF(O111&gt;0,0,AA111+V111*Z111)*Z111</f>
        <v>1892.0124999997543</v>
      </c>
      <c r="AC111" s="286">
        <f t="shared" ref="AC111" si="379">IF(O111&gt;0,(N111-AA111)/2,IF(AD111&gt;=AG111,(((N111*U111)*Z111)-AB111)/2,((((N111*U111)*Z111)-AA111)+(((N111*U111)*Z111)-AB111))/2))</f>
        <v>8784.3437500001237</v>
      </c>
      <c r="AD111" s="286">
        <f t="shared" si="316"/>
        <v>2017.4166666666667</v>
      </c>
      <c r="AE111" s="286">
        <f t="shared" si="12"/>
        <v>2018</v>
      </c>
      <c r="AF111" s="286">
        <f t="shared" si="317"/>
        <v>2023.4166666666667</v>
      </c>
      <c r="AG111" s="286">
        <f t="shared" si="14"/>
        <v>2017</v>
      </c>
      <c r="AH111" s="286">
        <f t="shared" si="318"/>
        <v>-8.3333333333333329E-2</v>
      </c>
      <c r="AJ111" s="11">
        <f t="shared" si="319"/>
        <v>0</v>
      </c>
      <c r="AL111" s="11">
        <f t="shared" si="320"/>
        <v>1892.0124999997543</v>
      </c>
      <c r="AN111" s="11">
        <f t="shared" si="321"/>
        <v>0</v>
      </c>
      <c r="AP111" s="11">
        <f t="shared" si="322"/>
        <v>0</v>
      </c>
      <c r="AR111" s="11">
        <f t="shared" si="323"/>
        <v>8784.3437500001237</v>
      </c>
    </row>
    <row r="112" spans="1:44">
      <c r="A112" s="282" t="s">
        <v>410</v>
      </c>
      <c r="B112" s="284"/>
      <c r="C112" s="309">
        <v>42</v>
      </c>
      <c r="D112" s="306" t="s">
        <v>408</v>
      </c>
      <c r="E112" s="282">
        <v>2017</v>
      </c>
      <c r="F112" s="284">
        <v>6</v>
      </c>
      <c r="G112" s="307">
        <v>0</v>
      </c>
      <c r="H112" s="286"/>
      <c r="I112" s="308" t="s">
        <v>86</v>
      </c>
      <c r="J112" s="284">
        <v>3</v>
      </c>
      <c r="K112" s="309">
        <f t="shared" si="305"/>
        <v>2020</v>
      </c>
      <c r="N112" s="285">
        <v>2398.5</v>
      </c>
      <c r="O112" s="310"/>
      <c r="P112" s="286">
        <f t="shared" ref="P112:P114" si="380">N112-N112*G112</f>
        <v>2398.5</v>
      </c>
      <c r="Q112" s="286">
        <f t="shared" ref="Q112:Q113" si="381">P112/J112/12</f>
        <v>66.625</v>
      </c>
      <c r="R112" s="286">
        <f t="shared" ref="R112" si="382">IF(O112&gt;0,0,IF(OR(AD112&gt;AE112,AF112&lt;AG112),0,IF(AND(AF112&gt;=AG112,AF112&lt;=AE112),Q112*((AF112-AG112)*12),IF(AND(AG112&lt;=AD112,AE112&gt;=AD112),((AE112-AD112)*12)*Q112,IF(AF112&gt;AE112,12*Q112,0)))))</f>
        <v>466.3749999999394</v>
      </c>
      <c r="S112" s="286"/>
      <c r="T112" s="286">
        <f t="shared" ref="T112" si="383">IF(S112&gt;0,S112,R112)</f>
        <v>466.3749999999394</v>
      </c>
      <c r="U112" s="286">
        <v>1</v>
      </c>
      <c r="V112" s="286">
        <f t="shared" ref="V112" si="384">U112*SUM(R112:S112)</f>
        <v>466.3749999999394</v>
      </c>
      <c r="W112" s="286"/>
      <c r="X112" s="286">
        <f t="shared" ref="X112" si="385">IF(AD112&gt;AE112,0,IF(AF112&lt;AG112,P112,IF(AND(AF112&gt;=AG112,AF112&lt;=AE112),(P112-T112),IF(AND(AG112&lt;=AD112,AE112&gt;=AD112),0,IF(AF112&gt;AE112,((AG112-AD112)*12)*Q112,0)))))</f>
        <v>0</v>
      </c>
      <c r="Y112" s="286">
        <f t="shared" ref="Y112" si="386">X112*U112</f>
        <v>0</v>
      </c>
      <c r="Z112" s="286">
        <v>1</v>
      </c>
      <c r="AA112" s="286">
        <f t="shared" ref="AA112" si="387">Y112*Z112</f>
        <v>0</v>
      </c>
      <c r="AB112" s="286">
        <f t="shared" ref="AB112" si="388">IF(O112&gt;0,0,AA112+V112*Z112)*Z112</f>
        <v>466.3749999999394</v>
      </c>
      <c r="AC112" s="286">
        <f t="shared" ref="AC112" si="389">IF(O112&gt;0,(N112-AA112)/2,IF(AD112&gt;=AG112,(((N112*U112)*Z112)-AB112)/2,((((N112*U112)*Z112)-AA112)+(((N112*U112)*Z112)-AB112))/2))</f>
        <v>966.06250000003024</v>
      </c>
      <c r="AD112" s="286">
        <f t="shared" si="316"/>
        <v>2017.4166666666667</v>
      </c>
      <c r="AE112" s="286">
        <f t="shared" si="12"/>
        <v>2018</v>
      </c>
      <c r="AF112" s="286">
        <f t="shared" si="317"/>
        <v>2020.4166666666667</v>
      </c>
      <c r="AG112" s="286">
        <f t="shared" si="14"/>
        <v>2017</v>
      </c>
      <c r="AH112" s="286">
        <f t="shared" si="318"/>
        <v>-8.3333333333333329E-2</v>
      </c>
      <c r="AJ112" s="11">
        <f t="shared" si="319"/>
        <v>0</v>
      </c>
      <c r="AL112" s="11">
        <f t="shared" si="320"/>
        <v>466.3749999999394</v>
      </c>
      <c r="AN112" s="11">
        <f t="shared" si="321"/>
        <v>0</v>
      </c>
      <c r="AP112" s="11">
        <f t="shared" si="322"/>
        <v>0</v>
      </c>
      <c r="AR112" s="11">
        <f t="shared" si="323"/>
        <v>966.06250000003024</v>
      </c>
    </row>
    <row r="113" spans="1:44">
      <c r="A113" s="282" t="s">
        <v>411</v>
      </c>
      <c r="B113" s="284"/>
      <c r="C113" s="309">
        <v>43</v>
      </c>
      <c r="D113" s="306" t="s">
        <v>408</v>
      </c>
      <c r="E113" s="282">
        <v>2017</v>
      </c>
      <c r="F113" s="284">
        <v>6</v>
      </c>
      <c r="G113" s="307">
        <v>0</v>
      </c>
      <c r="H113" s="286"/>
      <c r="I113" s="308" t="s">
        <v>86</v>
      </c>
      <c r="J113" s="284">
        <v>3</v>
      </c>
      <c r="K113" s="309">
        <f t="shared" si="305"/>
        <v>2020</v>
      </c>
      <c r="N113" s="285">
        <v>1386.5</v>
      </c>
      <c r="O113" s="310"/>
      <c r="P113" s="286">
        <f t="shared" si="380"/>
        <v>1386.5</v>
      </c>
      <c r="Q113" s="286">
        <f t="shared" si="381"/>
        <v>38.513888888888893</v>
      </c>
      <c r="R113" s="286">
        <f t="shared" ref="R113" si="390">IF(O113&gt;0,0,IF(OR(AD113&gt;AE113,AF113&lt;AG113),0,IF(AND(AF113&gt;=AG113,AF113&lt;=AE113),Q113*((AF113-AG113)*12),IF(AND(AG113&lt;=AD113,AE113&gt;=AD113),((AE113-AD113)*12)*Q113,IF(AF113&gt;AE113,12*Q113,0)))))</f>
        <v>269.59722222218721</v>
      </c>
      <c r="S113" s="286"/>
      <c r="T113" s="286">
        <f t="shared" ref="T113" si="391">IF(S113&gt;0,S113,R113)</f>
        <v>269.59722222218721</v>
      </c>
      <c r="U113" s="286">
        <v>1</v>
      </c>
      <c r="V113" s="286">
        <f t="shared" ref="V113" si="392">U113*SUM(R113:S113)</f>
        <v>269.59722222218721</v>
      </c>
      <c r="W113" s="286"/>
      <c r="X113" s="286">
        <f t="shared" ref="X113" si="393">IF(AD113&gt;AE113,0,IF(AF113&lt;AG113,P113,IF(AND(AF113&gt;=AG113,AF113&lt;=AE113),(P113-T113),IF(AND(AG113&lt;=AD113,AE113&gt;=AD113),0,IF(AF113&gt;AE113,((AG113-AD113)*12)*Q113,0)))))</f>
        <v>0</v>
      </c>
      <c r="Y113" s="286">
        <f t="shared" ref="Y113" si="394">X113*U113</f>
        <v>0</v>
      </c>
      <c r="Z113" s="286">
        <v>1</v>
      </c>
      <c r="AA113" s="286">
        <f t="shared" ref="AA113" si="395">Y113*Z113</f>
        <v>0</v>
      </c>
      <c r="AB113" s="286">
        <f t="shared" ref="AB113" si="396">IF(O113&gt;0,0,AA113+V113*Z113)*Z113</f>
        <v>269.59722222218721</v>
      </c>
      <c r="AC113" s="286">
        <f t="shared" ref="AC113" si="397">IF(O113&gt;0,(N113-AA113)/2,IF(AD113&gt;=AG113,(((N113*U113)*Z113)-AB113)/2,((((N113*U113)*Z113)-AA113)+(((N113*U113)*Z113)-AB113))/2))</f>
        <v>558.45138888890642</v>
      </c>
      <c r="AD113" s="286">
        <f t="shared" si="316"/>
        <v>2017.4166666666667</v>
      </c>
      <c r="AE113" s="286">
        <f t="shared" si="12"/>
        <v>2018</v>
      </c>
      <c r="AF113" s="286">
        <f t="shared" si="317"/>
        <v>2020.4166666666667</v>
      </c>
      <c r="AG113" s="286">
        <f t="shared" si="14"/>
        <v>2017</v>
      </c>
      <c r="AH113" s="286">
        <f t="shared" si="318"/>
        <v>-8.3333333333333329E-2</v>
      </c>
      <c r="AJ113" s="11">
        <f t="shared" si="319"/>
        <v>0</v>
      </c>
      <c r="AL113" s="11">
        <f t="shared" si="320"/>
        <v>269.59722222218721</v>
      </c>
      <c r="AN113" s="11">
        <f t="shared" si="321"/>
        <v>0</v>
      </c>
      <c r="AP113" s="11">
        <f t="shared" si="322"/>
        <v>0</v>
      </c>
      <c r="AR113" s="11">
        <f t="shared" si="323"/>
        <v>558.45138888890642</v>
      </c>
    </row>
    <row r="114" spans="1:44">
      <c r="A114" s="282" t="s">
        <v>427</v>
      </c>
      <c r="B114" s="284"/>
      <c r="C114" s="309">
        <v>42</v>
      </c>
      <c r="D114" s="306" t="s">
        <v>408</v>
      </c>
      <c r="E114" s="282">
        <v>2017</v>
      </c>
      <c r="F114" s="284">
        <v>6</v>
      </c>
      <c r="G114" s="307">
        <v>0</v>
      </c>
      <c r="H114" s="286"/>
      <c r="I114" s="308" t="s">
        <v>86</v>
      </c>
      <c r="J114" s="284">
        <v>3</v>
      </c>
      <c r="K114" s="309">
        <f t="shared" si="305"/>
        <v>2020</v>
      </c>
      <c r="N114" s="285">
        <v>1342.06</v>
      </c>
      <c r="O114" s="310"/>
      <c r="P114" s="286">
        <f t="shared" si="380"/>
        <v>1342.06</v>
      </c>
      <c r="Q114" s="286">
        <f t="shared" ref="Q114" si="398">P114/J114/12</f>
        <v>37.279444444444444</v>
      </c>
      <c r="R114" s="286">
        <f t="shared" ref="R114" si="399">IF(O114&gt;0,0,IF(OR(AD114&gt;AE114,AF114&lt;AG114),0,IF(AND(AF114&gt;=AG114,AF114&lt;=AE114),Q114*((AF114-AG114)*12),IF(AND(AG114&lt;=AD114,AE114&gt;=AD114),((AE114-AD114)*12)*Q114,IF(AF114&gt;AE114,12*Q114,0)))))</f>
        <v>260.95611111107718</v>
      </c>
      <c r="S114" s="286"/>
      <c r="T114" s="286">
        <f t="shared" ref="T114" si="400">IF(S114&gt;0,S114,R114)</f>
        <v>260.95611111107718</v>
      </c>
      <c r="U114" s="286">
        <v>1</v>
      </c>
      <c r="V114" s="286">
        <f t="shared" ref="V114" si="401">U114*SUM(R114:S114)</f>
        <v>260.95611111107718</v>
      </c>
      <c r="W114" s="286"/>
      <c r="X114" s="286">
        <f t="shared" ref="X114" si="402">IF(AD114&gt;AE114,0,IF(AF114&lt;AG114,P114,IF(AND(AF114&gt;=AG114,AF114&lt;=AE114),(P114-T114),IF(AND(AG114&lt;=AD114,AE114&gt;=AD114),0,IF(AF114&gt;AE114,((AG114-AD114)*12)*Q114,0)))))</f>
        <v>0</v>
      </c>
      <c r="Y114" s="286">
        <f t="shared" ref="Y114" si="403">X114*U114</f>
        <v>0</v>
      </c>
      <c r="Z114" s="286">
        <v>1</v>
      </c>
      <c r="AA114" s="286">
        <f t="shared" ref="AA114" si="404">Y114*Z114</f>
        <v>0</v>
      </c>
      <c r="AB114" s="286">
        <f t="shared" ref="AB114" si="405">IF(O114&gt;0,0,AA114+V114*Z114)*Z114</f>
        <v>260.95611111107718</v>
      </c>
      <c r="AC114" s="286">
        <f t="shared" ref="AC114" si="406">IF(O114&gt;0,(N114-AA114)/2,IF(AD114&gt;=AG114,(((N114*U114)*Z114)-AB114)/2,((((N114*U114)*Z114)-AA114)+(((N114*U114)*Z114)-AB114))/2))</f>
        <v>540.55194444446136</v>
      </c>
      <c r="AD114" s="286">
        <f t="shared" si="316"/>
        <v>2017.4166666666667</v>
      </c>
      <c r="AE114" s="286">
        <f t="shared" si="12"/>
        <v>2018</v>
      </c>
      <c r="AF114" s="286">
        <f t="shared" si="317"/>
        <v>2020.4166666666667</v>
      </c>
      <c r="AG114" s="286">
        <f t="shared" si="14"/>
        <v>2017</v>
      </c>
      <c r="AH114" s="286">
        <f t="shared" si="318"/>
        <v>-8.3333333333333329E-2</v>
      </c>
      <c r="AJ114" s="11">
        <f t="shared" si="319"/>
        <v>0</v>
      </c>
      <c r="AL114" s="11">
        <f t="shared" si="320"/>
        <v>260.95611111107718</v>
      </c>
      <c r="AN114" s="11">
        <f t="shared" si="321"/>
        <v>0</v>
      </c>
      <c r="AP114" s="11">
        <f t="shared" si="322"/>
        <v>0</v>
      </c>
      <c r="AR114" s="11">
        <f t="shared" si="323"/>
        <v>540.55194444446136</v>
      </c>
    </row>
    <row r="115" spans="1:44">
      <c r="B115" s="284"/>
      <c r="D115" s="294"/>
      <c r="G115" s="307"/>
      <c r="H115" s="286"/>
      <c r="I115" s="308"/>
      <c r="K115" s="309"/>
      <c r="N115" s="288"/>
      <c r="P115" s="313"/>
      <c r="Q115" s="313"/>
      <c r="R115" s="313"/>
      <c r="S115" s="313"/>
      <c r="T115" s="313"/>
      <c r="U115" s="313"/>
      <c r="V115" s="313"/>
      <c r="W115" s="286"/>
      <c r="X115" s="286"/>
      <c r="Y115" s="286"/>
      <c r="Z115" s="286"/>
      <c r="AA115" s="313"/>
      <c r="AB115" s="313"/>
      <c r="AC115" s="313"/>
      <c r="AD115" s="286"/>
      <c r="AE115" s="286"/>
      <c r="AF115" s="286"/>
      <c r="AG115" s="286"/>
      <c r="AH115" s="286"/>
      <c r="AJ115" s="12"/>
      <c r="AK115" s="12"/>
      <c r="AL115" s="12"/>
      <c r="AM115" s="12"/>
      <c r="AN115" s="12"/>
      <c r="AO115" s="12"/>
      <c r="AP115" s="12"/>
      <c r="AQ115" s="12"/>
      <c r="AR115" s="12"/>
    </row>
    <row r="116" spans="1:44">
      <c r="B116" s="284"/>
      <c r="D116" s="294" t="s">
        <v>449</v>
      </c>
      <c r="G116" s="307"/>
      <c r="H116" s="286"/>
      <c r="I116" s="308"/>
      <c r="K116" s="309"/>
      <c r="N116" s="314">
        <f>SUM(N105:N115)</f>
        <v>529555.66</v>
      </c>
      <c r="O116" s="327"/>
      <c r="P116" s="314">
        <f>SUM(P105:P115)</f>
        <v>529555.66</v>
      </c>
      <c r="Q116" s="314">
        <f>SUM(Q105:Q115)</f>
        <v>7084.1549603174608</v>
      </c>
      <c r="R116" s="314">
        <f>SUM(R105:R115)</f>
        <v>49589.08472221579</v>
      </c>
      <c r="S116" s="314">
        <f>SUM(S105:S115)</f>
        <v>0</v>
      </c>
      <c r="T116" s="314">
        <f>SUM(T105:T115)</f>
        <v>49589.08472221579</v>
      </c>
      <c r="U116" s="316"/>
      <c r="V116" s="314">
        <f>SUM(V105:V115)</f>
        <v>49589.08472221579</v>
      </c>
      <c r="W116" s="323"/>
      <c r="X116" s="323"/>
      <c r="Y116" s="323"/>
      <c r="Z116" s="323"/>
      <c r="AA116" s="316">
        <f>SUM(AA104:AA115)</f>
        <v>0</v>
      </c>
      <c r="AB116" s="314">
        <f>SUM(AB105:AB115)</f>
        <v>49589.08472221579</v>
      </c>
      <c r="AC116" s="314">
        <f>SUM(AC105:AC115)</f>
        <v>239983.28763889207</v>
      </c>
      <c r="AD116" s="323"/>
      <c r="AE116" s="323"/>
      <c r="AF116" s="323"/>
      <c r="AG116" s="323"/>
      <c r="AH116" s="323"/>
      <c r="AJ116" s="314">
        <f>SUM(AJ105:AJ115)</f>
        <v>0</v>
      </c>
      <c r="AK116" s="10">
        <f t="shared" ref="AK116:AQ116" si="407">SUM(AK104:AK115)</f>
        <v>0</v>
      </c>
      <c r="AL116" s="314">
        <f>SUM(AL105:AL115)</f>
        <v>49589.08472221579</v>
      </c>
      <c r="AM116" s="10">
        <f t="shared" si="407"/>
        <v>0</v>
      </c>
      <c r="AN116" s="314">
        <f>SUM(AN105:AN115)</f>
        <v>0</v>
      </c>
      <c r="AO116" s="10">
        <f t="shared" si="407"/>
        <v>0</v>
      </c>
      <c r="AP116" s="314">
        <f>SUM(AP105:AP115)</f>
        <v>0</v>
      </c>
      <c r="AQ116" s="10">
        <f t="shared" si="407"/>
        <v>0</v>
      </c>
      <c r="AR116" s="314">
        <f>SUM(AR105:AR115)</f>
        <v>239983.28763889207</v>
      </c>
    </row>
    <row r="117" spans="1:44">
      <c r="B117" s="284"/>
      <c r="D117" s="294"/>
      <c r="G117" s="307"/>
      <c r="H117" s="286"/>
      <c r="I117" s="308"/>
      <c r="K117" s="309"/>
      <c r="N117" s="288"/>
      <c r="P117" s="313"/>
      <c r="Q117" s="313"/>
      <c r="R117" s="313"/>
      <c r="S117" s="313"/>
      <c r="T117" s="313"/>
      <c r="U117" s="313"/>
      <c r="V117" s="313"/>
      <c r="W117" s="286"/>
      <c r="X117" s="286"/>
      <c r="Y117" s="286"/>
      <c r="Z117" s="286"/>
      <c r="AA117" s="313"/>
      <c r="AB117" s="313"/>
      <c r="AC117" s="313"/>
      <c r="AD117" s="286"/>
      <c r="AE117" s="286"/>
      <c r="AF117" s="286"/>
      <c r="AG117" s="286"/>
      <c r="AH117" s="286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 spans="1:44">
      <c r="B118" s="284"/>
      <c r="D118" s="294"/>
      <c r="G118" s="307"/>
      <c r="H118" s="286"/>
      <c r="I118" s="308"/>
      <c r="K118" s="309"/>
      <c r="N118" s="288"/>
      <c r="P118" s="313"/>
      <c r="Q118" s="313"/>
      <c r="R118" s="313"/>
      <c r="S118" s="313"/>
      <c r="T118" s="313"/>
      <c r="U118" s="313"/>
      <c r="V118" s="313"/>
      <c r="W118" s="286"/>
      <c r="X118" s="286"/>
      <c r="Y118" s="286"/>
      <c r="Z118" s="286"/>
      <c r="AA118" s="313"/>
      <c r="AB118" s="313"/>
      <c r="AC118" s="313"/>
      <c r="AD118" s="286"/>
      <c r="AE118" s="286"/>
      <c r="AF118" s="286"/>
      <c r="AG118" s="286"/>
      <c r="AH118" s="286"/>
    </row>
    <row r="119" spans="1:44">
      <c r="B119" s="284"/>
      <c r="D119" s="294" t="s">
        <v>14</v>
      </c>
      <c r="G119" s="307"/>
      <c r="H119" s="286"/>
      <c r="I119" s="308"/>
      <c r="K119" s="309"/>
      <c r="N119" s="314">
        <f>N37+N52+N86+N102+N69+N116</f>
        <v>5258132.91</v>
      </c>
      <c r="O119" s="327"/>
      <c r="P119" s="314">
        <f t="shared" ref="P119:V119" si="408">P37+P52+P86+P102+P69+P116</f>
        <v>4420694.4651999995</v>
      </c>
      <c r="Q119" s="314">
        <f t="shared" si="408"/>
        <v>54027.370215785195</v>
      </c>
      <c r="R119" s="314">
        <f t="shared" si="408"/>
        <v>191478.8943604345</v>
      </c>
      <c r="S119" s="314">
        <f t="shared" si="408"/>
        <v>0</v>
      </c>
      <c r="T119" s="314">
        <f t="shared" si="408"/>
        <v>191478.8943604345</v>
      </c>
      <c r="U119" s="314">
        <f t="shared" si="408"/>
        <v>48</v>
      </c>
      <c r="V119" s="314">
        <f t="shared" si="408"/>
        <v>191478.8943604345</v>
      </c>
      <c r="W119" s="314">
        <f>W37+W52+W86+W102+W69</f>
        <v>0</v>
      </c>
      <c r="X119" s="314">
        <f t="shared" ref="X119:AC119" si="409">X37+X52+X86+X102+X69+X116</f>
        <v>2367250.5173643068</v>
      </c>
      <c r="Y119" s="314">
        <f t="shared" si="409"/>
        <v>2367250.5173643068</v>
      </c>
      <c r="Z119" s="314">
        <f t="shared" si="409"/>
        <v>53</v>
      </c>
      <c r="AA119" s="314">
        <f t="shared" si="409"/>
        <v>2793020.5369258458</v>
      </c>
      <c r="AB119" s="314">
        <f t="shared" si="409"/>
        <v>2984499.43128628</v>
      </c>
      <c r="AC119" s="314">
        <f t="shared" si="409"/>
        <v>1788027.6558939368</v>
      </c>
      <c r="AD119" s="323"/>
      <c r="AE119" s="323"/>
      <c r="AF119" s="323"/>
      <c r="AG119" s="323"/>
      <c r="AH119" s="323"/>
      <c r="AJ119" s="314">
        <f>AJ37+AJ52+AJ86+AJ102+AJ69+AJ116</f>
        <v>264480.4052884173</v>
      </c>
      <c r="AK119" s="10">
        <f>AK37+AK52+AK86+AK102+AK69</f>
        <v>0</v>
      </c>
      <c r="AL119" s="314">
        <f>AL37+AL52+AL86+AL102+AL69+AL116</f>
        <v>455959.29964885174</v>
      </c>
      <c r="AM119" s="10">
        <f>AM37+AM52+AM86+AM102+AM69</f>
        <v>0</v>
      </c>
      <c r="AN119" s="314">
        <f>AN37+AN52+AN86+AN102+AN69+AN116</f>
        <v>-657917.02249999996</v>
      </c>
      <c r="AO119" s="10">
        <f>AO37+AO52+AO86+AO102+AO69</f>
        <v>0</v>
      </c>
      <c r="AP119" s="314">
        <f>AP37+AP52+AP86+AP102+AP69+AP116</f>
        <v>431529.78523679718</v>
      </c>
      <c r="AQ119" s="10">
        <f>AQ37+AQ52+AQ86+AQ102+AQ69</f>
        <v>0</v>
      </c>
      <c r="AR119" s="314">
        <f>AR37+AR52+AR86+AR102+AR69+AR116</f>
        <v>1110622.9344997283</v>
      </c>
    </row>
    <row r="120" spans="1:44">
      <c r="B120" s="284"/>
      <c r="C120" s="321"/>
      <c r="D120" s="286"/>
      <c r="E120" s="309"/>
      <c r="F120" s="308"/>
      <c r="G120" s="308"/>
      <c r="H120" s="286"/>
      <c r="I120" s="308"/>
      <c r="K120" s="309"/>
      <c r="N120" s="288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L120" s="11">
        <f>AL119-V119</f>
        <v>264480.40528841724</v>
      </c>
      <c r="AR120" s="11">
        <f>AR119-AC119</f>
        <v>-677404.72139420849</v>
      </c>
    </row>
    <row r="121" spans="1:44">
      <c r="B121" s="284"/>
      <c r="D121" s="311" t="s">
        <v>142</v>
      </c>
      <c r="H121" s="286"/>
      <c r="I121" s="308"/>
      <c r="K121" s="309"/>
      <c r="N121" s="321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>
        <f t="shared" ref="AG121:AG520" si="410">$P$4+($P$3/12)</f>
        <v>2017</v>
      </c>
      <c r="AH121" s="286">
        <f t="shared" ref="AH121:AH172" si="411">$L121+(($M121-1)/12)</f>
        <v>-8.3333333333333329E-2</v>
      </c>
      <c r="AJ121" s="11">
        <f t="shared" ref="AJ121:AJ184" si="412">+IF((AF121-AG121)&gt;3,((N121-P121)/(AF121-AG121)),(N121-P121)/3)</f>
        <v>0</v>
      </c>
      <c r="AL121" s="11">
        <f t="shared" ref="AL121:AL184" si="413">+AJ121+R121</f>
        <v>0</v>
      </c>
      <c r="AN121" s="11">
        <f t="shared" ref="AN121:AN184" si="414">+IF(AF121&lt;AG121,-AC121,0)</f>
        <v>0</v>
      </c>
      <c r="AP121" s="11">
        <f t="shared" ref="AP121:AP184" si="415">+IF(AF121&gt;AG121,IF(AJ121&gt;0,IF(O121&gt;0,(N121-AA121)/2,IF(AD121&gt;=AG121,(((N121*U121)*Z121)-(AB121+AJ121))/2,((((N121*U121)*Z121)-AA121)+(((N121*U121)*Z121)-(AB121+AJ121)))/2)),0),0)</f>
        <v>0</v>
      </c>
      <c r="AR121" s="11">
        <f t="shared" ref="AR121:AR184" si="416">+AC121+AN121+(IF(AP121&gt;0,(AP121-AC121),0))</f>
        <v>0</v>
      </c>
    </row>
    <row r="122" spans="1:44">
      <c r="C122" s="282">
        <v>31</v>
      </c>
      <c r="D122" s="282" t="s">
        <v>16</v>
      </c>
      <c r="E122" s="282">
        <v>1990</v>
      </c>
      <c r="F122" s="284">
        <v>10</v>
      </c>
      <c r="G122" s="307">
        <v>0</v>
      </c>
      <c r="H122" s="286"/>
      <c r="I122" s="308" t="s">
        <v>86</v>
      </c>
      <c r="J122" s="284">
        <v>10</v>
      </c>
      <c r="K122" s="309">
        <f t="shared" ref="K122:K172" si="417">E122+J122</f>
        <v>2000</v>
      </c>
      <c r="N122" s="285">
        <v>4604</v>
      </c>
      <c r="P122" s="286">
        <f t="shared" ref="P122:P172" si="418">N122-N122*G122</f>
        <v>4604</v>
      </c>
      <c r="Q122" s="286">
        <f t="shared" ref="Q122:Q172" si="419">P122/J122/12</f>
        <v>38.366666666666667</v>
      </c>
      <c r="R122" s="286">
        <f t="shared" ref="R122:R154" si="420">IF(O122&gt;0,0,IF(OR(AD122&gt;AE122,AF122&lt;AG122),0,IF(AND(AF122&gt;=AG122,AF122&lt;=AE122),Q122*((AF122-AG122)*12),IF(AND(AG122&lt;=AD122,AE122&gt;=AD122),((AE122-AD122)*12)*Q122,IF(AF122&gt;AE122,12*Q122,0)))))</f>
        <v>0</v>
      </c>
      <c r="T122" s="286">
        <f t="shared" ref="T122:T172" si="421">IF(S122&gt;0,S122,R122)</f>
        <v>0</v>
      </c>
      <c r="U122" s="286">
        <v>1</v>
      </c>
      <c r="V122" s="286">
        <f t="shared" ref="V122:V172" si="422">U122*SUM(R122:S122)</f>
        <v>0</v>
      </c>
      <c r="W122" s="286"/>
      <c r="X122" s="286">
        <f t="shared" ref="X122:X172" si="423">IF(AD122&gt;AE122,0,IF(AF122&lt;AG122,P122,IF(AND(AF122&gt;=AG122,AF122&lt;=AE122),(P122-T122),IF(AND(AG122&lt;=AD122,AE122&gt;=AD122),0,IF(AF122&gt;AE122,((AG122-AD122)*12)*Q122,0)))))</f>
        <v>4604</v>
      </c>
      <c r="Y122" s="286">
        <f t="shared" ref="Y122:Y172" si="424">X122*U122</f>
        <v>4604</v>
      </c>
      <c r="Z122" s="286">
        <v>1</v>
      </c>
      <c r="AA122" s="286">
        <f t="shared" ref="AA122:AA172" si="425">Y122*Z122</f>
        <v>4604</v>
      </c>
      <c r="AB122" s="286">
        <f t="shared" ref="AB122:AB172" si="426">IF(O122&gt;0,0,AA122+V122*Z122)*Z122</f>
        <v>4604</v>
      </c>
      <c r="AC122" s="286">
        <f t="shared" ref="AC122:AC172" si="427">IF(O122&gt;0,(N122-AA122)/2,IF(AD122&gt;=AG122,(((N122*U122)*Z122)-AB122)/2,((((N122*U122)*Z122)-AA122)+(((N122*U122)*Z122)-AB122))/2))</f>
        <v>0</v>
      </c>
      <c r="AD122" s="286">
        <f t="shared" ref="AD122:AD172" si="428">$E122+(($F122-1)/12)</f>
        <v>1990.75</v>
      </c>
      <c r="AE122" s="286">
        <f t="shared" ref="AE122:AE520" si="429">($P$5+1)-($P$2/12)</f>
        <v>2018</v>
      </c>
      <c r="AF122" s="286">
        <f t="shared" ref="AF122:AF172" si="430">$K122+(($F122-1)/12)</f>
        <v>2000.75</v>
      </c>
      <c r="AG122" s="286">
        <f t="shared" si="410"/>
        <v>2017</v>
      </c>
      <c r="AH122" s="286">
        <f t="shared" si="411"/>
        <v>-8.3333333333333329E-2</v>
      </c>
      <c r="AJ122" s="11">
        <f t="shared" si="412"/>
        <v>0</v>
      </c>
      <c r="AL122" s="11">
        <f t="shared" si="413"/>
        <v>0</v>
      </c>
      <c r="AN122" s="11">
        <f t="shared" si="414"/>
        <v>0</v>
      </c>
      <c r="AP122" s="11">
        <f t="shared" si="415"/>
        <v>0</v>
      </c>
      <c r="AR122" s="11">
        <f t="shared" si="416"/>
        <v>0</v>
      </c>
    </row>
    <row r="123" spans="1:44">
      <c r="C123" s="282">
        <v>41</v>
      </c>
      <c r="D123" s="282" t="s">
        <v>16</v>
      </c>
      <c r="E123" s="282">
        <v>1991</v>
      </c>
      <c r="F123" s="284">
        <v>5</v>
      </c>
      <c r="G123" s="307">
        <v>0</v>
      </c>
      <c r="H123" s="286"/>
      <c r="I123" s="308" t="s">
        <v>86</v>
      </c>
      <c r="J123" s="284">
        <v>10</v>
      </c>
      <c r="K123" s="309">
        <f t="shared" si="417"/>
        <v>2001</v>
      </c>
      <c r="N123" s="285">
        <v>2375</v>
      </c>
      <c r="P123" s="286">
        <f t="shared" si="418"/>
        <v>2375</v>
      </c>
      <c r="Q123" s="286">
        <f t="shared" si="419"/>
        <v>19.791666666666668</v>
      </c>
      <c r="R123" s="286">
        <f t="shared" si="420"/>
        <v>0</v>
      </c>
      <c r="T123" s="286">
        <f t="shared" si="421"/>
        <v>0</v>
      </c>
      <c r="U123" s="286">
        <v>1</v>
      </c>
      <c r="V123" s="286">
        <f t="shared" si="422"/>
        <v>0</v>
      </c>
      <c r="W123" s="286"/>
      <c r="X123" s="286">
        <f t="shared" si="423"/>
        <v>2375</v>
      </c>
      <c r="Y123" s="286">
        <f t="shared" si="424"/>
        <v>2375</v>
      </c>
      <c r="Z123" s="286">
        <v>1</v>
      </c>
      <c r="AA123" s="286">
        <f t="shared" si="425"/>
        <v>2375</v>
      </c>
      <c r="AB123" s="286">
        <f t="shared" si="426"/>
        <v>2375</v>
      </c>
      <c r="AC123" s="286">
        <f t="shared" si="427"/>
        <v>0</v>
      </c>
      <c r="AD123" s="286">
        <f t="shared" si="428"/>
        <v>1991.3333333333333</v>
      </c>
      <c r="AE123" s="286">
        <f t="shared" si="429"/>
        <v>2018</v>
      </c>
      <c r="AF123" s="286">
        <f t="shared" si="430"/>
        <v>2001.3333333333333</v>
      </c>
      <c r="AG123" s="286">
        <f t="shared" si="410"/>
        <v>2017</v>
      </c>
      <c r="AH123" s="286">
        <f t="shared" si="411"/>
        <v>-8.3333333333333329E-2</v>
      </c>
      <c r="AJ123" s="11">
        <f t="shared" si="412"/>
        <v>0</v>
      </c>
      <c r="AL123" s="11">
        <f t="shared" si="413"/>
        <v>0</v>
      </c>
      <c r="AN123" s="11">
        <f t="shared" si="414"/>
        <v>0</v>
      </c>
      <c r="AP123" s="11">
        <f t="shared" si="415"/>
        <v>0</v>
      </c>
      <c r="AR123" s="11">
        <f t="shared" si="416"/>
        <v>0</v>
      </c>
    </row>
    <row r="124" spans="1:44">
      <c r="C124" s="282">
        <v>40</v>
      </c>
      <c r="D124" s="282" t="s">
        <v>16</v>
      </c>
      <c r="E124" s="282">
        <v>1991</v>
      </c>
      <c r="F124" s="284">
        <v>3</v>
      </c>
      <c r="G124" s="307">
        <v>0</v>
      </c>
      <c r="H124" s="286"/>
      <c r="I124" s="308" t="s">
        <v>86</v>
      </c>
      <c r="J124" s="284">
        <v>10</v>
      </c>
      <c r="K124" s="309">
        <f t="shared" si="417"/>
        <v>2001</v>
      </c>
      <c r="N124" s="285">
        <v>2375</v>
      </c>
      <c r="P124" s="286">
        <f t="shared" si="418"/>
        <v>2375</v>
      </c>
      <c r="Q124" s="286">
        <f t="shared" si="419"/>
        <v>19.791666666666668</v>
      </c>
      <c r="R124" s="286">
        <f t="shared" si="420"/>
        <v>0</v>
      </c>
      <c r="T124" s="286">
        <f t="shared" si="421"/>
        <v>0</v>
      </c>
      <c r="U124" s="286">
        <v>1</v>
      </c>
      <c r="V124" s="286">
        <f t="shared" si="422"/>
        <v>0</v>
      </c>
      <c r="W124" s="286"/>
      <c r="X124" s="286">
        <f t="shared" si="423"/>
        <v>2375</v>
      </c>
      <c r="Y124" s="286">
        <f t="shared" si="424"/>
        <v>2375</v>
      </c>
      <c r="Z124" s="286">
        <v>1</v>
      </c>
      <c r="AA124" s="286">
        <f t="shared" si="425"/>
        <v>2375</v>
      </c>
      <c r="AB124" s="286">
        <f t="shared" si="426"/>
        <v>2375</v>
      </c>
      <c r="AC124" s="286">
        <f t="shared" si="427"/>
        <v>0</v>
      </c>
      <c r="AD124" s="286">
        <f t="shared" si="428"/>
        <v>1991.1666666666667</v>
      </c>
      <c r="AE124" s="286">
        <f t="shared" si="429"/>
        <v>2018</v>
      </c>
      <c r="AF124" s="286">
        <f t="shared" si="430"/>
        <v>2001.1666666666667</v>
      </c>
      <c r="AG124" s="286">
        <f t="shared" si="410"/>
        <v>2017</v>
      </c>
      <c r="AH124" s="286">
        <f t="shared" si="411"/>
        <v>-8.3333333333333329E-2</v>
      </c>
      <c r="AJ124" s="11">
        <f t="shared" si="412"/>
        <v>0</v>
      </c>
      <c r="AL124" s="11">
        <f t="shared" si="413"/>
        <v>0</v>
      </c>
      <c r="AN124" s="11">
        <f t="shared" si="414"/>
        <v>0</v>
      </c>
      <c r="AP124" s="11">
        <f t="shared" si="415"/>
        <v>0</v>
      </c>
      <c r="AR124" s="11">
        <f t="shared" si="416"/>
        <v>0</v>
      </c>
    </row>
    <row r="125" spans="1:44">
      <c r="C125" s="282">
        <v>42</v>
      </c>
      <c r="D125" s="282" t="s">
        <v>16</v>
      </c>
      <c r="E125" s="282">
        <v>1991</v>
      </c>
      <c r="F125" s="284">
        <v>6</v>
      </c>
      <c r="G125" s="307">
        <v>0</v>
      </c>
      <c r="H125" s="286"/>
      <c r="I125" s="308" t="s">
        <v>86</v>
      </c>
      <c r="J125" s="284">
        <v>10</v>
      </c>
      <c r="K125" s="309">
        <f t="shared" si="417"/>
        <v>2001</v>
      </c>
      <c r="N125" s="285">
        <v>2517</v>
      </c>
      <c r="P125" s="286">
        <f t="shared" si="418"/>
        <v>2517</v>
      </c>
      <c r="Q125" s="286">
        <f t="shared" si="419"/>
        <v>20.974999999999998</v>
      </c>
      <c r="R125" s="286">
        <f t="shared" si="420"/>
        <v>0</v>
      </c>
      <c r="T125" s="286">
        <f t="shared" si="421"/>
        <v>0</v>
      </c>
      <c r="U125" s="286">
        <v>1</v>
      </c>
      <c r="V125" s="286">
        <f t="shared" si="422"/>
        <v>0</v>
      </c>
      <c r="W125" s="286"/>
      <c r="X125" s="286">
        <f t="shared" si="423"/>
        <v>2517</v>
      </c>
      <c r="Y125" s="286">
        <f t="shared" si="424"/>
        <v>2517</v>
      </c>
      <c r="Z125" s="286">
        <v>1</v>
      </c>
      <c r="AA125" s="286">
        <f t="shared" si="425"/>
        <v>2517</v>
      </c>
      <c r="AB125" s="286">
        <f t="shared" si="426"/>
        <v>2517</v>
      </c>
      <c r="AC125" s="286">
        <f t="shared" si="427"/>
        <v>0</v>
      </c>
      <c r="AD125" s="286">
        <f t="shared" si="428"/>
        <v>1991.4166666666667</v>
      </c>
      <c r="AE125" s="286">
        <f t="shared" si="429"/>
        <v>2018</v>
      </c>
      <c r="AF125" s="286">
        <f t="shared" si="430"/>
        <v>2001.4166666666667</v>
      </c>
      <c r="AG125" s="286">
        <f t="shared" si="410"/>
        <v>2017</v>
      </c>
      <c r="AH125" s="286">
        <f t="shared" si="411"/>
        <v>-8.3333333333333329E-2</v>
      </c>
      <c r="AJ125" s="11">
        <f t="shared" si="412"/>
        <v>0</v>
      </c>
      <c r="AL125" s="11">
        <f t="shared" si="413"/>
        <v>0</v>
      </c>
      <c r="AN125" s="11">
        <f t="shared" si="414"/>
        <v>0</v>
      </c>
      <c r="AP125" s="11">
        <f t="shared" si="415"/>
        <v>0</v>
      </c>
      <c r="AR125" s="11">
        <f t="shared" si="416"/>
        <v>0</v>
      </c>
    </row>
    <row r="126" spans="1:44">
      <c r="C126" s="282">
        <v>43</v>
      </c>
      <c r="D126" s="282" t="s">
        <v>16</v>
      </c>
      <c r="E126" s="282">
        <v>1991</v>
      </c>
      <c r="F126" s="284">
        <v>7</v>
      </c>
      <c r="G126" s="307">
        <v>0</v>
      </c>
      <c r="H126" s="286"/>
      <c r="I126" s="308" t="s">
        <v>86</v>
      </c>
      <c r="J126" s="284">
        <v>10</v>
      </c>
      <c r="K126" s="309">
        <f t="shared" si="417"/>
        <v>2001</v>
      </c>
      <c r="N126" s="285">
        <v>6244</v>
      </c>
      <c r="P126" s="286">
        <f t="shared" si="418"/>
        <v>6244</v>
      </c>
      <c r="Q126" s="286">
        <f t="shared" si="419"/>
        <v>52.033333333333331</v>
      </c>
      <c r="R126" s="286">
        <f t="shared" si="420"/>
        <v>0</v>
      </c>
      <c r="T126" s="286">
        <f t="shared" si="421"/>
        <v>0</v>
      </c>
      <c r="U126" s="286">
        <v>1</v>
      </c>
      <c r="V126" s="286">
        <f t="shared" si="422"/>
        <v>0</v>
      </c>
      <c r="W126" s="286"/>
      <c r="X126" s="286">
        <f t="shared" si="423"/>
        <v>6244</v>
      </c>
      <c r="Y126" s="286">
        <f t="shared" si="424"/>
        <v>6244</v>
      </c>
      <c r="Z126" s="286">
        <v>1</v>
      </c>
      <c r="AA126" s="286">
        <f t="shared" si="425"/>
        <v>6244</v>
      </c>
      <c r="AB126" s="286">
        <f t="shared" si="426"/>
        <v>6244</v>
      </c>
      <c r="AC126" s="286">
        <f t="shared" si="427"/>
        <v>0</v>
      </c>
      <c r="AD126" s="286">
        <f t="shared" si="428"/>
        <v>1991.5</v>
      </c>
      <c r="AE126" s="286">
        <f t="shared" si="429"/>
        <v>2018</v>
      </c>
      <c r="AF126" s="286">
        <f t="shared" si="430"/>
        <v>2001.5</v>
      </c>
      <c r="AG126" s="286">
        <f t="shared" si="410"/>
        <v>2017</v>
      </c>
      <c r="AH126" s="286">
        <f t="shared" si="411"/>
        <v>-8.3333333333333329E-2</v>
      </c>
      <c r="AJ126" s="11">
        <f t="shared" si="412"/>
        <v>0</v>
      </c>
      <c r="AL126" s="11">
        <f t="shared" si="413"/>
        <v>0</v>
      </c>
      <c r="AN126" s="11">
        <f t="shared" si="414"/>
        <v>0</v>
      </c>
      <c r="AP126" s="11">
        <f t="shared" si="415"/>
        <v>0</v>
      </c>
      <c r="AR126" s="11">
        <f t="shared" si="416"/>
        <v>0</v>
      </c>
    </row>
    <row r="127" spans="1:44">
      <c r="C127" s="282">
        <v>44</v>
      </c>
      <c r="D127" s="282" t="s">
        <v>16</v>
      </c>
      <c r="E127" s="282">
        <v>1991</v>
      </c>
      <c r="F127" s="284">
        <v>9</v>
      </c>
      <c r="G127" s="307">
        <v>0</v>
      </c>
      <c r="H127" s="286"/>
      <c r="I127" s="308" t="s">
        <v>86</v>
      </c>
      <c r="J127" s="284">
        <v>10</v>
      </c>
      <c r="K127" s="309">
        <f t="shared" si="417"/>
        <v>2001</v>
      </c>
      <c r="N127" s="285">
        <v>2273</v>
      </c>
      <c r="P127" s="286">
        <f t="shared" si="418"/>
        <v>2273</v>
      </c>
      <c r="Q127" s="286">
        <f t="shared" si="419"/>
        <v>18.941666666666666</v>
      </c>
      <c r="R127" s="286">
        <f t="shared" si="420"/>
        <v>0</v>
      </c>
      <c r="T127" s="286">
        <f t="shared" si="421"/>
        <v>0</v>
      </c>
      <c r="U127" s="286">
        <v>1</v>
      </c>
      <c r="V127" s="286">
        <f t="shared" si="422"/>
        <v>0</v>
      </c>
      <c r="W127" s="286"/>
      <c r="X127" s="286">
        <f t="shared" si="423"/>
        <v>2273</v>
      </c>
      <c r="Y127" s="286">
        <f t="shared" si="424"/>
        <v>2273</v>
      </c>
      <c r="Z127" s="286">
        <v>1</v>
      </c>
      <c r="AA127" s="286">
        <f t="shared" si="425"/>
        <v>2273</v>
      </c>
      <c r="AB127" s="286">
        <f t="shared" si="426"/>
        <v>2273</v>
      </c>
      <c r="AC127" s="286">
        <f t="shared" si="427"/>
        <v>0</v>
      </c>
      <c r="AD127" s="286">
        <f t="shared" si="428"/>
        <v>1991.6666666666667</v>
      </c>
      <c r="AE127" s="286">
        <f t="shared" si="429"/>
        <v>2018</v>
      </c>
      <c r="AF127" s="286">
        <f t="shared" si="430"/>
        <v>2001.6666666666667</v>
      </c>
      <c r="AG127" s="286">
        <f t="shared" si="410"/>
        <v>2017</v>
      </c>
      <c r="AH127" s="286">
        <f t="shared" si="411"/>
        <v>-8.3333333333333329E-2</v>
      </c>
      <c r="AJ127" s="11">
        <f t="shared" si="412"/>
        <v>0</v>
      </c>
      <c r="AL127" s="11">
        <f t="shared" si="413"/>
        <v>0</v>
      </c>
      <c r="AN127" s="11">
        <f t="shared" si="414"/>
        <v>0</v>
      </c>
      <c r="AP127" s="11">
        <f t="shared" si="415"/>
        <v>0</v>
      </c>
      <c r="AR127" s="11">
        <f t="shared" si="416"/>
        <v>0</v>
      </c>
    </row>
    <row r="128" spans="1:44">
      <c r="C128" s="282">
        <v>45</v>
      </c>
      <c r="D128" s="282" t="s">
        <v>16</v>
      </c>
      <c r="E128" s="282">
        <v>1991</v>
      </c>
      <c r="F128" s="284">
        <v>10</v>
      </c>
      <c r="G128" s="307">
        <v>0</v>
      </c>
      <c r="H128" s="286"/>
      <c r="I128" s="308" t="s">
        <v>86</v>
      </c>
      <c r="J128" s="284">
        <v>10</v>
      </c>
      <c r="K128" s="309">
        <f t="shared" si="417"/>
        <v>2001</v>
      </c>
      <c r="N128" s="285">
        <v>2273</v>
      </c>
      <c r="P128" s="286">
        <f t="shared" si="418"/>
        <v>2273</v>
      </c>
      <c r="Q128" s="286">
        <f t="shared" si="419"/>
        <v>18.941666666666666</v>
      </c>
      <c r="R128" s="286">
        <f t="shared" si="420"/>
        <v>0</v>
      </c>
      <c r="T128" s="286">
        <f t="shared" si="421"/>
        <v>0</v>
      </c>
      <c r="U128" s="286">
        <v>1</v>
      </c>
      <c r="V128" s="286">
        <f t="shared" si="422"/>
        <v>0</v>
      </c>
      <c r="W128" s="286"/>
      <c r="X128" s="286">
        <f t="shared" si="423"/>
        <v>2273</v>
      </c>
      <c r="Y128" s="286">
        <f t="shared" si="424"/>
        <v>2273</v>
      </c>
      <c r="Z128" s="286">
        <v>1</v>
      </c>
      <c r="AA128" s="286">
        <f t="shared" si="425"/>
        <v>2273</v>
      </c>
      <c r="AB128" s="286">
        <f t="shared" si="426"/>
        <v>2273</v>
      </c>
      <c r="AC128" s="286">
        <f t="shared" si="427"/>
        <v>0</v>
      </c>
      <c r="AD128" s="286">
        <f t="shared" si="428"/>
        <v>1991.75</v>
      </c>
      <c r="AE128" s="286">
        <f t="shared" si="429"/>
        <v>2018</v>
      </c>
      <c r="AF128" s="286">
        <f t="shared" si="430"/>
        <v>2001.75</v>
      </c>
      <c r="AG128" s="286">
        <f t="shared" si="410"/>
        <v>2017</v>
      </c>
      <c r="AH128" s="286">
        <f t="shared" si="411"/>
        <v>-8.3333333333333329E-2</v>
      </c>
      <c r="AJ128" s="11">
        <f t="shared" si="412"/>
        <v>0</v>
      </c>
      <c r="AL128" s="11">
        <f t="shared" si="413"/>
        <v>0</v>
      </c>
      <c r="AN128" s="11">
        <f t="shared" si="414"/>
        <v>0</v>
      </c>
      <c r="AP128" s="11">
        <f t="shared" si="415"/>
        <v>0</v>
      </c>
      <c r="AR128" s="11">
        <f t="shared" si="416"/>
        <v>0</v>
      </c>
    </row>
    <row r="129" spans="3:44">
      <c r="C129" s="282">
        <v>46</v>
      </c>
      <c r="D129" s="282" t="s">
        <v>16</v>
      </c>
      <c r="E129" s="282">
        <v>1991</v>
      </c>
      <c r="F129" s="284">
        <v>11</v>
      </c>
      <c r="G129" s="307">
        <v>0</v>
      </c>
      <c r="H129" s="286"/>
      <c r="I129" s="308" t="s">
        <v>86</v>
      </c>
      <c r="J129" s="284">
        <v>10</v>
      </c>
      <c r="K129" s="309">
        <f t="shared" si="417"/>
        <v>2001</v>
      </c>
      <c r="N129" s="285">
        <v>2319</v>
      </c>
      <c r="P129" s="286">
        <f t="shared" si="418"/>
        <v>2319</v>
      </c>
      <c r="Q129" s="286">
        <f t="shared" si="419"/>
        <v>19.324999999999999</v>
      </c>
      <c r="R129" s="286">
        <f t="shared" si="420"/>
        <v>0</v>
      </c>
      <c r="T129" s="286">
        <f t="shared" si="421"/>
        <v>0</v>
      </c>
      <c r="U129" s="286">
        <v>1</v>
      </c>
      <c r="V129" s="286">
        <f t="shared" si="422"/>
        <v>0</v>
      </c>
      <c r="W129" s="286"/>
      <c r="X129" s="286">
        <f t="shared" si="423"/>
        <v>2319</v>
      </c>
      <c r="Y129" s="286">
        <f t="shared" si="424"/>
        <v>2319</v>
      </c>
      <c r="Z129" s="286">
        <v>1</v>
      </c>
      <c r="AA129" s="286">
        <f t="shared" si="425"/>
        <v>2319</v>
      </c>
      <c r="AB129" s="286">
        <f t="shared" si="426"/>
        <v>2319</v>
      </c>
      <c r="AC129" s="286">
        <f t="shared" si="427"/>
        <v>0</v>
      </c>
      <c r="AD129" s="286">
        <f t="shared" si="428"/>
        <v>1991.8333333333333</v>
      </c>
      <c r="AE129" s="286">
        <f t="shared" si="429"/>
        <v>2018</v>
      </c>
      <c r="AF129" s="286">
        <f t="shared" si="430"/>
        <v>2001.8333333333333</v>
      </c>
      <c r="AG129" s="286">
        <f t="shared" si="410"/>
        <v>2017</v>
      </c>
      <c r="AH129" s="286">
        <f t="shared" si="411"/>
        <v>-8.3333333333333329E-2</v>
      </c>
      <c r="AJ129" s="11">
        <f t="shared" si="412"/>
        <v>0</v>
      </c>
      <c r="AL129" s="11">
        <f t="shared" si="413"/>
        <v>0</v>
      </c>
      <c r="AN129" s="11">
        <f t="shared" si="414"/>
        <v>0</v>
      </c>
      <c r="AP129" s="11">
        <f t="shared" si="415"/>
        <v>0</v>
      </c>
      <c r="AR129" s="11">
        <f t="shared" si="416"/>
        <v>0</v>
      </c>
    </row>
    <row r="130" spans="3:44">
      <c r="C130" s="282">
        <v>55</v>
      </c>
      <c r="D130" s="282" t="s">
        <v>16</v>
      </c>
      <c r="E130" s="282">
        <v>1992</v>
      </c>
      <c r="F130" s="284">
        <v>2</v>
      </c>
      <c r="G130" s="307">
        <v>0</v>
      </c>
      <c r="H130" s="286"/>
      <c r="I130" s="308" t="s">
        <v>86</v>
      </c>
      <c r="J130" s="284">
        <v>10</v>
      </c>
      <c r="K130" s="309">
        <f t="shared" si="417"/>
        <v>2002</v>
      </c>
      <c r="N130" s="285">
        <v>2850</v>
      </c>
      <c r="P130" s="286">
        <f t="shared" si="418"/>
        <v>2850</v>
      </c>
      <c r="Q130" s="286">
        <f t="shared" si="419"/>
        <v>23.75</v>
      </c>
      <c r="R130" s="286">
        <f t="shared" si="420"/>
        <v>0</v>
      </c>
      <c r="T130" s="286">
        <f t="shared" si="421"/>
        <v>0</v>
      </c>
      <c r="U130" s="286">
        <v>1</v>
      </c>
      <c r="V130" s="286">
        <f t="shared" si="422"/>
        <v>0</v>
      </c>
      <c r="W130" s="286"/>
      <c r="X130" s="286">
        <f t="shared" si="423"/>
        <v>2850</v>
      </c>
      <c r="Y130" s="286">
        <f t="shared" si="424"/>
        <v>2850</v>
      </c>
      <c r="Z130" s="286">
        <v>1</v>
      </c>
      <c r="AA130" s="286">
        <f t="shared" si="425"/>
        <v>2850</v>
      </c>
      <c r="AB130" s="286">
        <f t="shared" si="426"/>
        <v>2850</v>
      </c>
      <c r="AC130" s="286">
        <f t="shared" si="427"/>
        <v>0</v>
      </c>
      <c r="AD130" s="286">
        <f t="shared" si="428"/>
        <v>1992.0833333333333</v>
      </c>
      <c r="AE130" s="286">
        <f t="shared" si="429"/>
        <v>2018</v>
      </c>
      <c r="AF130" s="286">
        <f t="shared" si="430"/>
        <v>2002.0833333333333</v>
      </c>
      <c r="AG130" s="286">
        <f t="shared" si="410"/>
        <v>2017</v>
      </c>
      <c r="AH130" s="286">
        <f t="shared" si="411"/>
        <v>-8.3333333333333329E-2</v>
      </c>
      <c r="AJ130" s="11">
        <f t="shared" si="412"/>
        <v>0</v>
      </c>
      <c r="AL130" s="11">
        <f t="shared" si="413"/>
        <v>0</v>
      </c>
      <c r="AN130" s="11">
        <f t="shared" si="414"/>
        <v>0</v>
      </c>
      <c r="AP130" s="11">
        <f t="shared" si="415"/>
        <v>0</v>
      </c>
      <c r="AR130" s="11">
        <f t="shared" si="416"/>
        <v>0</v>
      </c>
    </row>
    <row r="131" spans="3:44">
      <c r="C131" s="282">
        <v>56</v>
      </c>
      <c r="D131" s="282" t="s">
        <v>16</v>
      </c>
      <c r="E131" s="282">
        <v>1992</v>
      </c>
      <c r="F131" s="284">
        <v>4</v>
      </c>
      <c r="G131" s="307">
        <v>0</v>
      </c>
      <c r="H131" s="286"/>
      <c r="I131" s="308" t="s">
        <v>86</v>
      </c>
      <c r="J131" s="284">
        <v>10</v>
      </c>
      <c r="K131" s="309">
        <f t="shared" si="417"/>
        <v>2002</v>
      </c>
      <c r="N131" s="285">
        <v>3150</v>
      </c>
      <c r="P131" s="286">
        <f t="shared" si="418"/>
        <v>3150</v>
      </c>
      <c r="Q131" s="286">
        <f t="shared" si="419"/>
        <v>26.25</v>
      </c>
      <c r="R131" s="286">
        <f t="shared" si="420"/>
        <v>0</v>
      </c>
      <c r="T131" s="286">
        <f t="shared" si="421"/>
        <v>0</v>
      </c>
      <c r="U131" s="286">
        <v>1</v>
      </c>
      <c r="V131" s="286">
        <f t="shared" si="422"/>
        <v>0</v>
      </c>
      <c r="W131" s="286"/>
      <c r="X131" s="286">
        <f t="shared" si="423"/>
        <v>3150</v>
      </c>
      <c r="Y131" s="286">
        <f t="shared" si="424"/>
        <v>3150</v>
      </c>
      <c r="Z131" s="286">
        <v>1</v>
      </c>
      <c r="AA131" s="286">
        <f t="shared" si="425"/>
        <v>3150</v>
      </c>
      <c r="AB131" s="286">
        <f t="shared" si="426"/>
        <v>3150</v>
      </c>
      <c r="AC131" s="286">
        <f t="shared" si="427"/>
        <v>0</v>
      </c>
      <c r="AD131" s="286">
        <f t="shared" si="428"/>
        <v>1992.25</v>
      </c>
      <c r="AE131" s="286">
        <f t="shared" si="429"/>
        <v>2018</v>
      </c>
      <c r="AF131" s="286">
        <f t="shared" si="430"/>
        <v>2002.25</v>
      </c>
      <c r="AG131" s="286">
        <f t="shared" si="410"/>
        <v>2017</v>
      </c>
      <c r="AH131" s="286">
        <f t="shared" si="411"/>
        <v>-8.3333333333333329E-2</v>
      </c>
      <c r="AJ131" s="11">
        <f t="shared" si="412"/>
        <v>0</v>
      </c>
      <c r="AL131" s="11">
        <f t="shared" si="413"/>
        <v>0</v>
      </c>
      <c r="AN131" s="11">
        <f t="shared" si="414"/>
        <v>0</v>
      </c>
      <c r="AP131" s="11">
        <f t="shared" si="415"/>
        <v>0</v>
      </c>
      <c r="AR131" s="11">
        <f t="shared" si="416"/>
        <v>0</v>
      </c>
    </row>
    <row r="132" spans="3:44">
      <c r="C132" s="282">
        <v>57</v>
      </c>
      <c r="D132" s="282" t="s">
        <v>16</v>
      </c>
      <c r="E132" s="282">
        <v>1992</v>
      </c>
      <c r="F132" s="284">
        <v>7</v>
      </c>
      <c r="G132" s="307">
        <v>0</v>
      </c>
      <c r="H132" s="286"/>
      <c r="I132" s="308" t="s">
        <v>86</v>
      </c>
      <c r="J132" s="284">
        <v>10</v>
      </c>
      <c r="K132" s="309">
        <f t="shared" si="417"/>
        <v>2002</v>
      </c>
      <c r="N132" s="285">
        <v>6003</v>
      </c>
      <c r="P132" s="286">
        <f t="shared" si="418"/>
        <v>6003</v>
      </c>
      <c r="Q132" s="286">
        <f t="shared" si="419"/>
        <v>50.024999999999999</v>
      </c>
      <c r="R132" s="286">
        <f t="shared" si="420"/>
        <v>0</v>
      </c>
      <c r="T132" s="286">
        <f t="shared" si="421"/>
        <v>0</v>
      </c>
      <c r="U132" s="286">
        <v>1</v>
      </c>
      <c r="V132" s="286">
        <f t="shared" si="422"/>
        <v>0</v>
      </c>
      <c r="W132" s="286"/>
      <c r="X132" s="286">
        <f t="shared" si="423"/>
        <v>6003</v>
      </c>
      <c r="Y132" s="286">
        <f t="shared" si="424"/>
        <v>6003</v>
      </c>
      <c r="Z132" s="286">
        <v>1</v>
      </c>
      <c r="AA132" s="286">
        <f t="shared" si="425"/>
        <v>6003</v>
      </c>
      <c r="AB132" s="286">
        <f t="shared" si="426"/>
        <v>6003</v>
      </c>
      <c r="AC132" s="286">
        <f t="shared" si="427"/>
        <v>0</v>
      </c>
      <c r="AD132" s="286">
        <f t="shared" si="428"/>
        <v>1992.5</v>
      </c>
      <c r="AE132" s="286">
        <f t="shared" si="429"/>
        <v>2018</v>
      </c>
      <c r="AF132" s="286">
        <f t="shared" si="430"/>
        <v>2002.5</v>
      </c>
      <c r="AG132" s="286">
        <f t="shared" si="410"/>
        <v>2017</v>
      </c>
      <c r="AH132" s="286">
        <f t="shared" si="411"/>
        <v>-8.3333333333333329E-2</v>
      </c>
      <c r="AJ132" s="11">
        <f t="shared" si="412"/>
        <v>0</v>
      </c>
      <c r="AL132" s="11">
        <f t="shared" si="413"/>
        <v>0</v>
      </c>
      <c r="AN132" s="11">
        <f t="shared" si="414"/>
        <v>0</v>
      </c>
      <c r="AP132" s="11">
        <f t="shared" si="415"/>
        <v>0</v>
      </c>
      <c r="AR132" s="11">
        <f t="shared" si="416"/>
        <v>0</v>
      </c>
    </row>
    <row r="133" spans="3:44">
      <c r="C133" s="282">
        <v>58</v>
      </c>
      <c r="D133" s="282" t="s">
        <v>16</v>
      </c>
      <c r="E133" s="282">
        <v>1992</v>
      </c>
      <c r="F133" s="284">
        <v>7</v>
      </c>
      <c r="G133" s="307">
        <v>0</v>
      </c>
      <c r="H133" s="286"/>
      <c r="I133" s="308" t="s">
        <v>86</v>
      </c>
      <c r="J133" s="284">
        <v>10</v>
      </c>
      <c r="K133" s="309">
        <f t="shared" si="417"/>
        <v>2002</v>
      </c>
      <c r="N133" s="285">
        <v>11604</v>
      </c>
      <c r="P133" s="286">
        <f t="shared" si="418"/>
        <v>11604</v>
      </c>
      <c r="Q133" s="286">
        <f t="shared" si="419"/>
        <v>96.7</v>
      </c>
      <c r="R133" s="286">
        <f t="shared" si="420"/>
        <v>0</v>
      </c>
      <c r="T133" s="286">
        <f t="shared" si="421"/>
        <v>0</v>
      </c>
      <c r="U133" s="286">
        <v>1</v>
      </c>
      <c r="V133" s="286">
        <f t="shared" si="422"/>
        <v>0</v>
      </c>
      <c r="W133" s="286"/>
      <c r="X133" s="286">
        <f t="shared" si="423"/>
        <v>11604</v>
      </c>
      <c r="Y133" s="286">
        <f t="shared" si="424"/>
        <v>11604</v>
      </c>
      <c r="Z133" s="286">
        <v>1</v>
      </c>
      <c r="AA133" s="286">
        <f t="shared" si="425"/>
        <v>11604</v>
      </c>
      <c r="AB133" s="286">
        <f t="shared" si="426"/>
        <v>11604</v>
      </c>
      <c r="AC133" s="286">
        <f t="shared" si="427"/>
        <v>0</v>
      </c>
      <c r="AD133" s="286">
        <f t="shared" si="428"/>
        <v>1992.5</v>
      </c>
      <c r="AE133" s="286">
        <f t="shared" si="429"/>
        <v>2018</v>
      </c>
      <c r="AF133" s="286">
        <f t="shared" si="430"/>
        <v>2002.5</v>
      </c>
      <c r="AG133" s="286">
        <f t="shared" si="410"/>
        <v>2017</v>
      </c>
      <c r="AH133" s="286">
        <f t="shared" si="411"/>
        <v>-8.3333333333333329E-2</v>
      </c>
      <c r="AJ133" s="11">
        <f t="shared" si="412"/>
        <v>0</v>
      </c>
      <c r="AL133" s="11">
        <f t="shared" si="413"/>
        <v>0</v>
      </c>
      <c r="AN133" s="11">
        <f t="shared" si="414"/>
        <v>0</v>
      </c>
      <c r="AP133" s="11">
        <f t="shared" si="415"/>
        <v>0</v>
      </c>
      <c r="AR133" s="11">
        <f t="shared" si="416"/>
        <v>0</v>
      </c>
    </row>
    <row r="134" spans="3:44">
      <c r="C134" s="282">
        <v>59</v>
      </c>
      <c r="D134" s="282" t="s">
        <v>16</v>
      </c>
      <c r="E134" s="282">
        <v>1992</v>
      </c>
      <c r="F134" s="284">
        <v>11</v>
      </c>
      <c r="G134" s="307">
        <v>0</v>
      </c>
      <c r="H134" s="286"/>
      <c r="I134" s="308" t="s">
        <v>86</v>
      </c>
      <c r="J134" s="284">
        <v>10</v>
      </c>
      <c r="K134" s="309">
        <f t="shared" si="417"/>
        <v>2002</v>
      </c>
      <c r="N134" s="285">
        <v>5639</v>
      </c>
      <c r="P134" s="286">
        <f t="shared" si="418"/>
        <v>5639</v>
      </c>
      <c r="Q134" s="286">
        <f t="shared" si="419"/>
        <v>46.991666666666667</v>
      </c>
      <c r="R134" s="286">
        <f t="shared" si="420"/>
        <v>0</v>
      </c>
      <c r="T134" s="286">
        <f t="shared" si="421"/>
        <v>0</v>
      </c>
      <c r="U134" s="286">
        <v>1</v>
      </c>
      <c r="V134" s="286">
        <f t="shared" si="422"/>
        <v>0</v>
      </c>
      <c r="W134" s="286"/>
      <c r="X134" s="286">
        <f t="shared" si="423"/>
        <v>5639</v>
      </c>
      <c r="Y134" s="286">
        <f t="shared" si="424"/>
        <v>5639</v>
      </c>
      <c r="Z134" s="286">
        <v>1</v>
      </c>
      <c r="AA134" s="286">
        <f t="shared" si="425"/>
        <v>5639</v>
      </c>
      <c r="AB134" s="286">
        <f t="shared" si="426"/>
        <v>5639</v>
      </c>
      <c r="AC134" s="286">
        <f t="shared" si="427"/>
        <v>0</v>
      </c>
      <c r="AD134" s="286">
        <f t="shared" si="428"/>
        <v>1992.8333333333333</v>
      </c>
      <c r="AE134" s="286">
        <f t="shared" si="429"/>
        <v>2018</v>
      </c>
      <c r="AF134" s="286">
        <f t="shared" si="430"/>
        <v>2002.8333333333333</v>
      </c>
      <c r="AG134" s="286">
        <f t="shared" si="410"/>
        <v>2017</v>
      </c>
      <c r="AH134" s="286">
        <f t="shared" si="411"/>
        <v>-8.3333333333333329E-2</v>
      </c>
      <c r="AJ134" s="11">
        <f t="shared" si="412"/>
        <v>0</v>
      </c>
      <c r="AL134" s="11">
        <f t="shared" si="413"/>
        <v>0</v>
      </c>
      <c r="AN134" s="11">
        <f t="shared" si="414"/>
        <v>0</v>
      </c>
      <c r="AP134" s="11">
        <f t="shared" si="415"/>
        <v>0</v>
      </c>
      <c r="AR134" s="11">
        <f t="shared" si="416"/>
        <v>0</v>
      </c>
    </row>
    <row r="135" spans="3:44">
      <c r="C135" s="282">
        <v>60</v>
      </c>
      <c r="D135" s="282" t="s">
        <v>16</v>
      </c>
      <c r="E135" s="282">
        <v>1992</v>
      </c>
      <c r="F135" s="284">
        <v>12</v>
      </c>
      <c r="G135" s="307">
        <v>0</v>
      </c>
      <c r="H135" s="286"/>
      <c r="I135" s="308" t="s">
        <v>86</v>
      </c>
      <c r="J135" s="284">
        <v>10</v>
      </c>
      <c r="K135" s="309">
        <f t="shared" si="417"/>
        <v>2002</v>
      </c>
      <c r="N135" s="285">
        <v>2941</v>
      </c>
      <c r="P135" s="286">
        <f t="shared" si="418"/>
        <v>2941</v>
      </c>
      <c r="Q135" s="286">
        <f t="shared" si="419"/>
        <v>24.508333333333336</v>
      </c>
      <c r="R135" s="286">
        <f t="shared" si="420"/>
        <v>0</v>
      </c>
      <c r="T135" s="286">
        <f t="shared" si="421"/>
        <v>0</v>
      </c>
      <c r="U135" s="286">
        <v>1</v>
      </c>
      <c r="V135" s="286">
        <f t="shared" si="422"/>
        <v>0</v>
      </c>
      <c r="W135" s="286"/>
      <c r="X135" s="286">
        <f t="shared" si="423"/>
        <v>2941</v>
      </c>
      <c r="Y135" s="286">
        <f t="shared" si="424"/>
        <v>2941</v>
      </c>
      <c r="Z135" s="286">
        <v>1</v>
      </c>
      <c r="AA135" s="286">
        <f t="shared" si="425"/>
        <v>2941</v>
      </c>
      <c r="AB135" s="286">
        <f t="shared" si="426"/>
        <v>2941</v>
      </c>
      <c r="AC135" s="286">
        <f t="shared" si="427"/>
        <v>0</v>
      </c>
      <c r="AD135" s="286">
        <f t="shared" si="428"/>
        <v>1992.9166666666667</v>
      </c>
      <c r="AE135" s="286">
        <f t="shared" si="429"/>
        <v>2018</v>
      </c>
      <c r="AF135" s="286">
        <f t="shared" si="430"/>
        <v>2002.9166666666667</v>
      </c>
      <c r="AG135" s="286">
        <f t="shared" si="410"/>
        <v>2017</v>
      </c>
      <c r="AH135" s="286">
        <f t="shared" si="411"/>
        <v>-8.3333333333333329E-2</v>
      </c>
      <c r="AJ135" s="11">
        <f t="shared" si="412"/>
        <v>0</v>
      </c>
      <c r="AL135" s="11">
        <f t="shared" si="413"/>
        <v>0</v>
      </c>
      <c r="AN135" s="11">
        <f t="shared" si="414"/>
        <v>0</v>
      </c>
      <c r="AP135" s="11">
        <f t="shared" si="415"/>
        <v>0</v>
      </c>
      <c r="AR135" s="11">
        <f t="shared" si="416"/>
        <v>0</v>
      </c>
    </row>
    <row r="136" spans="3:44">
      <c r="C136" s="282">
        <v>65</v>
      </c>
      <c r="D136" s="282" t="s">
        <v>16</v>
      </c>
      <c r="E136" s="282">
        <v>1993</v>
      </c>
      <c r="F136" s="284">
        <v>4</v>
      </c>
      <c r="G136" s="307">
        <v>0</v>
      </c>
      <c r="H136" s="286"/>
      <c r="I136" s="308" t="s">
        <v>86</v>
      </c>
      <c r="J136" s="284">
        <v>10</v>
      </c>
      <c r="K136" s="309">
        <f t="shared" si="417"/>
        <v>2003</v>
      </c>
      <c r="N136" s="285">
        <v>6426</v>
      </c>
      <c r="P136" s="286">
        <f t="shared" si="418"/>
        <v>6426</v>
      </c>
      <c r="Q136" s="286">
        <f t="shared" si="419"/>
        <v>53.550000000000004</v>
      </c>
      <c r="R136" s="286">
        <f t="shared" si="420"/>
        <v>0</v>
      </c>
      <c r="T136" s="286">
        <f t="shared" si="421"/>
        <v>0</v>
      </c>
      <c r="U136" s="286">
        <v>1</v>
      </c>
      <c r="V136" s="286">
        <f t="shared" si="422"/>
        <v>0</v>
      </c>
      <c r="W136" s="286"/>
      <c r="X136" s="286">
        <f t="shared" si="423"/>
        <v>6426</v>
      </c>
      <c r="Y136" s="286">
        <f t="shared" si="424"/>
        <v>6426</v>
      </c>
      <c r="Z136" s="286">
        <v>1</v>
      </c>
      <c r="AA136" s="286">
        <f t="shared" si="425"/>
        <v>6426</v>
      </c>
      <c r="AB136" s="286">
        <f t="shared" si="426"/>
        <v>6426</v>
      </c>
      <c r="AC136" s="286">
        <f t="shared" si="427"/>
        <v>0</v>
      </c>
      <c r="AD136" s="286">
        <f t="shared" si="428"/>
        <v>1993.25</v>
      </c>
      <c r="AE136" s="286">
        <f t="shared" si="429"/>
        <v>2018</v>
      </c>
      <c r="AF136" s="286">
        <f t="shared" si="430"/>
        <v>2003.25</v>
      </c>
      <c r="AG136" s="286">
        <f t="shared" si="410"/>
        <v>2017</v>
      </c>
      <c r="AH136" s="286">
        <f t="shared" si="411"/>
        <v>-8.3333333333333329E-2</v>
      </c>
      <c r="AJ136" s="11">
        <f t="shared" si="412"/>
        <v>0</v>
      </c>
      <c r="AL136" s="11">
        <f t="shared" si="413"/>
        <v>0</v>
      </c>
      <c r="AN136" s="11">
        <f t="shared" si="414"/>
        <v>0</v>
      </c>
      <c r="AP136" s="11">
        <f t="shared" si="415"/>
        <v>0</v>
      </c>
      <c r="AR136" s="11">
        <f t="shared" si="416"/>
        <v>0</v>
      </c>
    </row>
    <row r="137" spans="3:44">
      <c r="C137" s="282">
        <v>66</v>
      </c>
      <c r="D137" s="282" t="s">
        <v>16</v>
      </c>
      <c r="E137" s="282">
        <v>1993</v>
      </c>
      <c r="F137" s="284">
        <v>7</v>
      </c>
      <c r="G137" s="307">
        <v>0</v>
      </c>
      <c r="H137" s="286"/>
      <c r="I137" s="308" t="s">
        <v>86</v>
      </c>
      <c r="J137" s="284">
        <v>10</v>
      </c>
      <c r="K137" s="309">
        <f t="shared" si="417"/>
        <v>2003</v>
      </c>
      <c r="N137" s="285">
        <v>7062</v>
      </c>
      <c r="P137" s="286">
        <f t="shared" si="418"/>
        <v>7062</v>
      </c>
      <c r="Q137" s="286">
        <f t="shared" si="419"/>
        <v>58.85</v>
      </c>
      <c r="R137" s="286">
        <f t="shared" si="420"/>
        <v>0</v>
      </c>
      <c r="T137" s="286">
        <f t="shared" si="421"/>
        <v>0</v>
      </c>
      <c r="U137" s="286">
        <v>1</v>
      </c>
      <c r="V137" s="286">
        <f t="shared" si="422"/>
        <v>0</v>
      </c>
      <c r="W137" s="286"/>
      <c r="X137" s="286">
        <f t="shared" si="423"/>
        <v>7062</v>
      </c>
      <c r="Y137" s="286">
        <f t="shared" si="424"/>
        <v>7062</v>
      </c>
      <c r="Z137" s="286">
        <v>1</v>
      </c>
      <c r="AA137" s="286">
        <f t="shared" si="425"/>
        <v>7062</v>
      </c>
      <c r="AB137" s="286">
        <f t="shared" si="426"/>
        <v>7062</v>
      </c>
      <c r="AC137" s="286">
        <f t="shared" si="427"/>
        <v>0</v>
      </c>
      <c r="AD137" s="286">
        <f t="shared" si="428"/>
        <v>1993.5</v>
      </c>
      <c r="AE137" s="286">
        <f t="shared" si="429"/>
        <v>2018</v>
      </c>
      <c r="AF137" s="286">
        <f t="shared" si="430"/>
        <v>2003.5</v>
      </c>
      <c r="AG137" s="286">
        <f t="shared" si="410"/>
        <v>2017</v>
      </c>
      <c r="AH137" s="286">
        <f t="shared" si="411"/>
        <v>-8.3333333333333329E-2</v>
      </c>
      <c r="AJ137" s="11">
        <f t="shared" si="412"/>
        <v>0</v>
      </c>
      <c r="AL137" s="11">
        <f t="shared" si="413"/>
        <v>0</v>
      </c>
      <c r="AN137" s="11">
        <f t="shared" si="414"/>
        <v>0</v>
      </c>
      <c r="AP137" s="11">
        <f t="shared" si="415"/>
        <v>0</v>
      </c>
      <c r="AR137" s="11">
        <f t="shared" si="416"/>
        <v>0</v>
      </c>
    </row>
    <row r="138" spans="3:44">
      <c r="C138" s="282">
        <v>67</v>
      </c>
      <c r="D138" s="282" t="s">
        <v>16</v>
      </c>
      <c r="E138" s="282">
        <v>1993</v>
      </c>
      <c r="F138" s="284">
        <v>8</v>
      </c>
      <c r="G138" s="307">
        <v>0</v>
      </c>
      <c r="H138" s="286"/>
      <c r="I138" s="308" t="s">
        <v>86</v>
      </c>
      <c r="J138" s="284">
        <v>10</v>
      </c>
      <c r="K138" s="309">
        <f t="shared" si="417"/>
        <v>2003</v>
      </c>
      <c r="N138" s="285">
        <v>2799</v>
      </c>
      <c r="P138" s="286">
        <f t="shared" si="418"/>
        <v>2799</v>
      </c>
      <c r="Q138" s="286">
        <f t="shared" si="419"/>
        <v>23.324999999999999</v>
      </c>
      <c r="R138" s="286">
        <f t="shared" si="420"/>
        <v>0</v>
      </c>
      <c r="T138" s="286">
        <f t="shared" si="421"/>
        <v>0</v>
      </c>
      <c r="U138" s="286">
        <v>1</v>
      </c>
      <c r="V138" s="286">
        <f t="shared" si="422"/>
        <v>0</v>
      </c>
      <c r="W138" s="286"/>
      <c r="X138" s="286">
        <f t="shared" si="423"/>
        <v>2799</v>
      </c>
      <c r="Y138" s="286">
        <f t="shared" si="424"/>
        <v>2799</v>
      </c>
      <c r="Z138" s="286">
        <v>1</v>
      </c>
      <c r="AA138" s="286">
        <f t="shared" si="425"/>
        <v>2799</v>
      </c>
      <c r="AB138" s="286">
        <f t="shared" si="426"/>
        <v>2799</v>
      </c>
      <c r="AC138" s="286">
        <f t="shared" si="427"/>
        <v>0</v>
      </c>
      <c r="AD138" s="286">
        <f t="shared" si="428"/>
        <v>1993.5833333333333</v>
      </c>
      <c r="AE138" s="286">
        <f t="shared" si="429"/>
        <v>2018</v>
      </c>
      <c r="AF138" s="286">
        <f t="shared" si="430"/>
        <v>2003.5833333333333</v>
      </c>
      <c r="AG138" s="286">
        <f t="shared" si="410"/>
        <v>2017</v>
      </c>
      <c r="AH138" s="286">
        <f t="shared" si="411"/>
        <v>-8.3333333333333329E-2</v>
      </c>
      <c r="AJ138" s="11">
        <f t="shared" si="412"/>
        <v>0</v>
      </c>
      <c r="AL138" s="11">
        <f t="shared" si="413"/>
        <v>0</v>
      </c>
      <c r="AN138" s="11">
        <f t="shared" si="414"/>
        <v>0</v>
      </c>
      <c r="AP138" s="11">
        <f t="shared" si="415"/>
        <v>0</v>
      </c>
      <c r="AR138" s="11">
        <f t="shared" si="416"/>
        <v>0</v>
      </c>
    </row>
    <row r="139" spans="3:44">
      <c r="C139" s="282">
        <v>68</v>
      </c>
      <c r="D139" s="282" t="s">
        <v>16</v>
      </c>
      <c r="E139" s="282">
        <v>1993</v>
      </c>
      <c r="F139" s="284">
        <v>9</v>
      </c>
      <c r="G139" s="307">
        <v>0</v>
      </c>
      <c r="H139" s="286"/>
      <c r="I139" s="308" t="s">
        <v>86</v>
      </c>
      <c r="J139" s="284">
        <v>10</v>
      </c>
      <c r="K139" s="309">
        <f t="shared" si="417"/>
        <v>2003</v>
      </c>
      <c r="N139" s="285">
        <v>11655</v>
      </c>
      <c r="P139" s="286">
        <f t="shared" si="418"/>
        <v>11655</v>
      </c>
      <c r="Q139" s="286">
        <f t="shared" si="419"/>
        <v>97.125</v>
      </c>
      <c r="R139" s="286">
        <f t="shared" si="420"/>
        <v>0</v>
      </c>
      <c r="T139" s="286">
        <f t="shared" si="421"/>
        <v>0</v>
      </c>
      <c r="U139" s="286">
        <v>1</v>
      </c>
      <c r="V139" s="286">
        <f t="shared" si="422"/>
        <v>0</v>
      </c>
      <c r="W139" s="286"/>
      <c r="X139" s="286">
        <f t="shared" si="423"/>
        <v>11655</v>
      </c>
      <c r="Y139" s="286">
        <f t="shared" si="424"/>
        <v>11655</v>
      </c>
      <c r="Z139" s="286">
        <v>1</v>
      </c>
      <c r="AA139" s="286">
        <f t="shared" si="425"/>
        <v>11655</v>
      </c>
      <c r="AB139" s="286">
        <f t="shared" si="426"/>
        <v>11655</v>
      </c>
      <c r="AC139" s="286">
        <f t="shared" si="427"/>
        <v>0</v>
      </c>
      <c r="AD139" s="286">
        <f t="shared" si="428"/>
        <v>1993.6666666666667</v>
      </c>
      <c r="AE139" s="286">
        <f t="shared" si="429"/>
        <v>2018</v>
      </c>
      <c r="AF139" s="286">
        <f t="shared" si="430"/>
        <v>2003.6666666666667</v>
      </c>
      <c r="AG139" s="286">
        <f t="shared" si="410"/>
        <v>2017</v>
      </c>
      <c r="AH139" s="286">
        <f t="shared" si="411"/>
        <v>-8.3333333333333329E-2</v>
      </c>
      <c r="AJ139" s="11">
        <f t="shared" si="412"/>
        <v>0</v>
      </c>
      <c r="AL139" s="11">
        <f t="shared" si="413"/>
        <v>0</v>
      </c>
      <c r="AN139" s="11">
        <f t="shared" si="414"/>
        <v>0</v>
      </c>
      <c r="AP139" s="11">
        <f t="shared" si="415"/>
        <v>0</v>
      </c>
      <c r="AR139" s="11">
        <f t="shared" si="416"/>
        <v>0</v>
      </c>
    </row>
    <row r="140" spans="3:44">
      <c r="C140" s="282">
        <v>69</v>
      </c>
      <c r="D140" s="282" t="s">
        <v>16</v>
      </c>
      <c r="E140" s="282">
        <v>1993</v>
      </c>
      <c r="F140" s="284">
        <v>9</v>
      </c>
      <c r="G140" s="307">
        <v>0</v>
      </c>
      <c r="H140" s="286"/>
      <c r="I140" s="308" t="s">
        <v>86</v>
      </c>
      <c r="J140" s="284">
        <v>10</v>
      </c>
      <c r="K140" s="309">
        <f t="shared" si="417"/>
        <v>2003</v>
      </c>
      <c r="N140" s="285">
        <v>13005</v>
      </c>
      <c r="P140" s="286">
        <f t="shared" si="418"/>
        <v>13005</v>
      </c>
      <c r="Q140" s="286">
        <f t="shared" si="419"/>
        <v>108.375</v>
      </c>
      <c r="R140" s="286">
        <f t="shared" si="420"/>
        <v>0</v>
      </c>
      <c r="T140" s="286">
        <f t="shared" si="421"/>
        <v>0</v>
      </c>
      <c r="U140" s="286">
        <v>1</v>
      </c>
      <c r="V140" s="286">
        <f t="shared" si="422"/>
        <v>0</v>
      </c>
      <c r="W140" s="286"/>
      <c r="X140" s="286">
        <f t="shared" si="423"/>
        <v>13005</v>
      </c>
      <c r="Y140" s="286">
        <f t="shared" si="424"/>
        <v>13005</v>
      </c>
      <c r="Z140" s="286">
        <v>1</v>
      </c>
      <c r="AA140" s="286">
        <f t="shared" si="425"/>
        <v>13005</v>
      </c>
      <c r="AB140" s="286">
        <f t="shared" si="426"/>
        <v>13005</v>
      </c>
      <c r="AC140" s="286">
        <f t="shared" si="427"/>
        <v>0</v>
      </c>
      <c r="AD140" s="286">
        <f t="shared" si="428"/>
        <v>1993.6666666666667</v>
      </c>
      <c r="AE140" s="286">
        <f t="shared" si="429"/>
        <v>2018</v>
      </c>
      <c r="AF140" s="286">
        <f t="shared" si="430"/>
        <v>2003.6666666666667</v>
      </c>
      <c r="AG140" s="286">
        <f t="shared" si="410"/>
        <v>2017</v>
      </c>
      <c r="AH140" s="286">
        <f t="shared" si="411"/>
        <v>-8.3333333333333329E-2</v>
      </c>
      <c r="AJ140" s="11">
        <f t="shared" si="412"/>
        <v>0</v>
      </c>
      <c r="AL140" s="11">
        <f t="shared" si="413"/>
        <v>0</v>
      </c>
      <c r="AN140" s="11">
        <f t="shared" si="414"/>
        <v>0</v>
      </c>
      <c r="AP140" s="11">
        <f t="shared" si="415"/>
        <v>0</v>
      </c>
      <c r="AR140" s="11">
        <f t="shared" si="416"/>
        <v>0</v>
      </c>
    </row>
    <row r="141" spans="3:44">
      <c r="C141" s="282">
        <v>70</v>
      </c>
      <c r="D141" s="282" t="s">
        <v>16</v>
      </c>
      <c r="E141" s="282">
        <v>1993</v>
      </c>
      <c r="F141" s="284">
        <v>12</v>
      </c>
      <c r="G141" s="307">
        <v>0</v>
      </c>
      <c r="H141" s="286"/>
      <c r="I141" s="308" t="s">
        <v>86</v>
      </c>
      <c r="J141" s="284">
        <v>10</v>
      </c>
      <c r="K141" s="309">
        <f t="shared" si="417"/>
        <v>2003</v>
      </c>
      <c r="N141" s="285">
        <v>5700</v>
      </c>
      <c r="P141" s="286">
        <f t="shared" si="418"/>
        <v>5700</v>
      </c>
      <c r="Q141" s="286">
        <f t="shared" si="419"/>
        <v>47.5</v>
      </c>
      <c r="R141" s="286">
        <f t="shared" si="420"/>
        <v>0</v>
      </c>
      <c r="T141" s="286">
        <f t="shared" si="421"/>
        <v>0</v>
      </c>
      <c r="U141" s="286">
        <v>1</v>
      </c>
      <c r="V141" s="286">
        <f t="shared" si="422"/>
        <v>0</v>
      </c>
      <c r="W141" s="286"/>
      <c r="X141" s="286">
        <f t="shared" si="423"/>
        <v>5700</v>
      </c>
      <c r="Y141" s="286">
        <f t="shared" si="424"/>
        <v>5700</v>
      </c>
      <c r="Z141" s="286">
        <v>1</v>
      </c>
      <c r="AA141" s="286">
        <f t="shared" si="425"/>
        <v>5700</v>
      </c>
      <c r="AB141" s="286">
        <f t="shared" si="426"/>
        <v>5700</v>
      </c>
      <c r="AC141" s="286">
        <f t="shared" si="427"/>
        <v>0</v>
      </c>
      <c r="AD141" s="286">
        <f t="shared" si="428"/>
        <v>1993.9166666666667</v>
      </c>
      <c r="AE141" s="286">
        <f t="shared" si="429"/>
        <v>2018</v>
      </c>
      <c r="AF141" s="286">
        <f t="shared" si="430"/>
        <v>2003.9166666666667</v>
      </c>
      <c r="AG141" s="286">
        <f t="shared" si="410"/>
        <v>2017</v>
      </c>
      <c r="AH141" s="286">
        <f t="shared" si="411"/>
        <v>-8.3333333333333329E-2</v>
      </c>
      <c r="AJ141" s="11">
        <f t="shared" si="412"/>
        <v>0</v>
      </c>
      <c r="AL141" s="11">
        <f t="shared" si="413"/>
        <v>0</v>
      </c>
      <c r="AN141" s="11">
        <f t="shared" si="414"/>
        <v>0</v>
      </c>
      <c r="AP141" s="11">
        <f t="shared" si="415"/>
        <v>0</v>
      </c>
      <c r="AR141" s="11">
        <f t="shared" si="416"/>
        <v>0</v>
      </c>
    </row>
    <row r="142" spans="3:44">
      <c r="C142" s="282">
        <v>78</v>
      </c>
      <c r="D142" s="282" t="s">
        <v>16</v>
      </c>
      <c r="E142" s="282">
        <v>1994</v>
      </c>
      <c r="F142" s="284">
        <v>9</v>
      </c>
      <c r="G142" s="307">
        <v>0</v>
      </c>
      <c r="H142" s="286"/>
      <c r="I142" s="308" t="s">
        <v>86</v>
      </c>
      <c r="J142" s="284">
        <v>10</v>
      </c>
      <c r="K142" s="309">
        <f t="shared" si="417"/>
        <v>2004</v>
      </c>
      <c r="N142" s="285">
        <v>6050</v>
      </c>
      <c r="P142" s="286">
        <f t="shared" si="418"/>
        <v>6050</v>
      </c>
      <c r="Q142" s="286">
        <f t="shared" si="419"/>
        <v>50.416666666666664</v>
      </c>
      <c r="R142" s="286">
        <f t="shared" si="420"/>
        <v>0</v>
      </c>
      <c r="T142" s="286">
        <f t="shared" si="421"/>
        <v>0</v>
      </c>
      <c r="U142" s="286">
        <v>1</v>
      </c>
      <c r="V142" s="286">
        <f t="shared" si="422"/>
        <v>0</v>
      </c>
      <c r="W142" s="286"/>
      <c r="X142" s="286">
        <f t="shared" si="423"/>
        <v>6050</v>
      </c>
      <c r="Y142" s="286">
        <f t="shared" si="424"/>
        <v>6050</v>
      </c>
      <c r="Z142" s="286">
        <v>1</v>
      </c>
      <c r="AA142" s="286">
        <f t="shared" si="425"/>
        <v>6050</v>
      </c>
      <c r="AB142" s="286">
        <f t="shared" si="426"/>
        <v>6050</v>
      </c>
      <c r="AC142" s="286">
        <f t="shared" si="427"/>
        <v>0</v>
      </c>
      <c r="AD142" s="286">
        <f t="shared" si="428"/>
        <v>1994.6666666666667</v>
      </c>
      <c r="AE142" s="286">
        <f t="shared" si="429"/>
        <v>2018</v>
      </c>
      <c r="AF142" s="286">
        <f t="shared" si="430"/>
        <v>2004.6666666666667</v>
      </c>
      <c r="AG142" s="286">
        <f t="shared" si="410"/>
        <v>2017</v>
      </c>
      <c r="AH142" s="286">
        <f t="shared" si="411"/>
        <v>-8.3333333333333329E-2</v>
      </c>
      <c r="AJ142" s="11">
        <f t="shared" si="412"/>
        <v>0</v>
      </c>
      <c r="AL142" s="11">
        <f t="shared" si="413"/>
        <v>0</v>
      </c>
      <c r="AN142" s="11">
        <f t="shared" si="414"/>
        <v>0</v>
      </c>
      <c r="AP142" s="11">
        <f t="shared" si="415"/>
        <v>0</v>
      </c>
      <c r="AR142" s="11">
        <f t="shared" si="416"/>
        <v>0</v>
      </c>
    </row>
    <row r="143" spans="3:44">
      <c r="C143" s="282">
        <v>79</v>
      </c>
      <c r="D143" s="282" t="s">
        <v>16</v>
      </c>
      <c r="E143" s="282">
        <v>1994</v>
      </c>
      <c r="F143" s="284">
        <v>9</v>
      </c>
      <c r="G143" s="307">
        <v>0</v>
      </c>
      <c r="H143" s="286"/>
      <c r="I143" s="308" t="s">
        <v>86</v>
      </c>
      <c r="J143" s="284">
        <v>10</v>
      </c>
      <c r="K143" s="309">
        <f t="shared" si="417"/>
        <v>2004</v>
      </c>
      <c r="N143" s="285">
        <v>5790</v>
      </c>
      <c r="P143" s="286">
        <f t="shared" si="418"/>
        <v>5790</v>
      </c>
      <c r="Q143" s="286">
        <f t="shared" si="419"/>
        <v>48.25</v>
      </c>
      <c r="R143" s="286">
        <f t="shared" si="420"/>
        <v>0</v>
      </c>
      <c r="T143" s="286">
        <f t="shared" si="421"/>
        <v>0</v>
      </c>
      <c r="U143" s="286">
        <v>1</v>
      </c>
      <c r="V143" s="286">
        <f t="shared" si="422"/>
        <v>0</v>
      </c>
      <c r="W143" s="286"/>
      <c r="X143" s="286">
        <f t="shared" si="423"/>
        <v>5790</v>
      </c>
      <c r="Y143" s="286">
        <f t="shared" si="424"/>
        <v>5790</v>
      </c>
      <c r="Z143" s="286">
        <v>1</v>
      </c>
      <c r="AA143" s="286">
        <f t="shared" si="425"/>
        <v>5790</v>
      </c>
      <c r="AB143" s="286">
        <f t="shared" si="426"/>
        <v>5790</v>
      </c>
      <c r="AC143" s="286">
        <f t="shared" si="427"/>
        <v>0</v>
      </c>
      <c r="AD143" s="286">
        <f t="shared" si="428"/>
        <v>1994.6666666666667</v>
      </c>
      <c r="AE143" s="286">
        <f t="shared" si="429"/>
        <v>2018</v>
      </c>
      <c r="AF143" s="286">
        <f t="shared" si="430"/>
        <v>2004.6666666666667</v>
      </c>
      <c r="AG143" s="286">
        <f t="shared" si="410"/>
        <v>2017</v>
      </c>
      <c r="AH143" s="286">
        <f t="shared" si="411"/>
        <v>-8.3333333333333329E-2</v>
      </c>
      <c r="AJ143" s="11">
        <f t="shared" si="412"/>
        <v>0</v>
      </c>
      <c r="AL143" s="11">
        <f t="shared" si="413"/>
        <v>0</v>
      </c>
      <c r="AN143" s="11">
        <f t="shared" si="414"/>
        <v>0</v>
      </c>
      <c r="AP143" s="11">
        <f t="shared" si="415"/>
        <v>0</v>
      </c>
      <c r="AR143" s="11">
        <f t="shared" si="416"/>
        <v>0</v>
      </c>
    </row>
    <row r="144" spans="3:44">
      <c r="C144" s="282">
        <v>20</v>
      </c>
      <c r="D144" s="282" t="s">
        <v>143</v>
      </c>
      <c r="E144" s="282">
        <v>1994</v>
      </c>
      <c r="F144" s="284">
        <v>4</v>
      </c>
      <c r="G144" s="307">
        <v>0</v>
      </c>
      <c r="H144" s="286"/>
      <c r="I144" s="308" t="s">
        <v>86</v>
      </c>
      <c r="J144" s="284">
        <v>10</v>
      </c>
      <c r="K144" s="309">
        <f t="shared" si="417"/>
        <v>2004</v>
      </c>
      <c r="N144" s="285">
        <v>6250</v>
      </c>
      <c r="P144" s="286">
        <f t="shared" si="418"/>
        <v>6250</v>
      </c>
      <c r="Q144" s="286">
        <f t="shared" si="419"/>
        <v>52.083333333333336</v>
      </c>
      <c r="R144" s="286">
        <f t="shared" si="420"/>
        <v>0</v>
      </c>
      <c r="T144" s="286">
        <f t="shared" si="421"/>
        <v>0</v>
      </c>
      <c r="U144" s="286">
        <v>1</v>
      </c>
      <c r="V144" s="286">
        <f t="shared" si="422"/>
        <v>0</v>
      </c>
      <c r="W144" s="286"/>
      <c r="X144" s="286">
        <f t="shared" si="423"/>
        <v>6250</v>
      </c>
      <c r="Y144" s="286">
        <f t="shared" si="424"/>
        <v>6250</v>
      </c>
      <c r="Z144" s="286">
        <v>1</v>
      </c>
      <c r="AA144" s="286">
        <f t="shared" si="425"/>
        <v>6250</v>
      </c>
      <c r="AB144" s="286">
        <f t="shared" si="426"/>
        <v>6250</v>
      </c>
      <c r="AC144" s="286">
        <f t="shared" si="427"/>
        <v>0</v>
      </c>
      <c r="AD144" s="286">
        <f t="shared" si="428"/>
        <v>1994.25</v>
      </c>
      <c r="AE144" s="286">
        <f t="shared" si="429"/>
        <v>2018</v>
      </c>
      <c r="AF144" s="286">
        <f t="shared" si="430"/>
        <v>2004.25</v>
      </c>
      <c r="AG144" s="286">
        <f t="shared" si="410"/>
        <v>2017</v>
      </c>
      <c r="AH144" s="286">
        <f t="shared" si="411"/>
        <v>-8.3333333333333329E-2</v>
      </c>
      <c r="AJ144" s="11">
        <f t="shared" si="412"/>
        <v>0</v>
      </c>
      <c r="AL144" s="11">
        <f t="shared" si="413"/>
        <v>0</v>
      </c>
      <c r="AN144" s="11">
        <f t="shared" si="414"/>
        <v>0</v>
      </c>
      <c r="AP144" s="11">
        <f t="shared" si="415"/>
        <v>0</v>
      </c>
      <c r="AR144" s="11">
        <f t="shared" si="416"/>
        <v>0</v>
      </c>
    </row>
    <row r="145" spans="3:44">
      <c r="C145" s="282">
        <v>20</v>
      </c>
      <c r="D145" s="318" t="s">
        <v>144</v>
      </c>
      <c r="E145" s="282">
        <v>1994</v>
      </c>
      <c r="F145" s="284">
        <v>6</v>
      </c>
      <c r="G145" s="307">
        <v>0</v>
      </c>
      <c r="H145" s="286"/>
      <c r="I145" s="308" t="s">
        <v>86</v>
      </c>
      <c r="J145" s="284">
        <v>10</v>
      </c>
      <c r="K145" s="309">
        <f t="shared" si="417"/>
        <v>2004</v>
      </c>
      <c r="N145" s="285">
        <v>5500</v>
      </c>
      <c r="P145" s="286">
        <f t="shared" si="418"/>
        <v>5500</v>
      </c>
      <c r="Q145" s="286">
        <f t="shared" si="419"/>
        <v>45.833333333333336</v>
      </c>
      <c r="R145" s="286">
        <f t="shared" si="420"/>
        <v>0</v>
      </c>
      <c r="T145" s="286">
        <f t="shared" si="421"/>
        <v>0</v>
      </c>
      <c r="U145" s="286">
        <v>1</v>
      </c>
      <c r="V145" s="286">
        <f t="shared" si="422"/>
        <v>0</v>
      </c>
      <c r="W145" s="286"/>
      <c r="X145" s="286">
        <f t="shared" si="423"/>
        <v>5500</v>
      </c>
      <c r="Y145" s="286">
        <f t="shared" si="424"/>
        <v>5500</v>
      </c>
      <c r="Z145" s="286">
        <v>1</v>
      </c>
      <c r="AA145" s="286">
        <f t="shared" si="425"/>
        <v>5500</v>
      </c>
      <c r="AB145" s="286">
        <f t="shared" si="426"/>
        <v>5500</v>
      </c>
      <c r="AC145" s="286">
        <f t="shared" si="427"/>
        <v>0</v>
      </c>
      <c r="AD145" s="286">
        <f t="shared" si="428"/>
        <v>1994.4166666666667</v>
      </c>
      <c r="AE145" s="286">
        <f t="shared" si="429"/>
        <v>2018</v>
      </c>
      <c r="AF145" s="286">
        <f t="shared" si="430"/>
        <v>2004.4166666666667</v>
      </c>
      <c r="AG145" s="286">
        <f t="shared" si="410"/>
        <v>2017</v>
      </c>
      <c r="AH145" s="286">
        <f t="shared" si="411"/>
        <v>-8.3333333333333329E-2</v>
      </c>
      <c r="AJ145" s="11">
        <f t="shared" si="412"/>
        <v>0</v>
      </c>
      <c r="AL145" s="11">
        <f t="shared" si="413"/>
        <v>0</v>
      </c>
      <c r="AN145" s="11">
        <f t="shared" si="414"/>
        <v>0</v>
      </c>
      <c r="AP145" s="11">
        <f t="shared" si="415"/>
        <v>0</v>
      </c>
      <c r="AR145" s="11">
        <f t="shared" si="416"/>
        <v>0</v>
      </c>
    </row>
    <row r="146" spans="3:44">
      <c r="C146" s="282">
        <v>10</v>
      </c>
      <c r="D146" s="306" t="s">
        <v>143</v>
      </c>
      <c r="E146" s="282">
        <v>1994</v>
      </c>
      <c r="F146" s="284">
        <v>6</v>
      </c>
      <c r="G146" s="307">
        <v>0</v>
      </c>
      <c r="H146" s="286"/>
      <c r="I146" s="308" t="s">
        <v>86</v>
      </c>
      <c r="J146" s="284">
        <v>10</v>
      </c>
      <c r="K146" s="309">
        <f t="shared" si="417"/>
        <v>2004</v>
      </c>
      <c r="N146" s="285">
        <v>3200</v>
      </c>
      <c r="P146" s="286">
        <f t="shared" si="418"/>
        <v>3200</v>
      </c>
      <c r="Q146" s="286">
        <f t="shared" si="419"/>
        <v>26.666666666666668</v>
      </c>
      <c r="R146" s="286">
        <f t="shared" si="420"/>
        <v>0</v>
      </c>
      <c r="T146" s="286">
        <f t="shared" si="421"/>
        <v>0</v>
      </c>
      <c r="U146" s="286">
        <v>1</v>
      </c>
      <c r="V146" s="286">
        <f t="shared" si="422"/>
        <v>0</v>
      </c>
      <c r="W146" s="286"/>
      <c r="X146" s="286">
        <f t="shared" si="423"/>
        <v>3200</v>
      </c>
      <c r="Y146" s="286">
        <f t="shared" si="424"/>
        <v>3200</v>
      </c>
      <c r="Z146" s="286">
        <v>1</v>
      </c>
      <c r="AA146" s="286">
        <f t="shared" si="425"/>
        <v>3200</v>
      </c>
      <c r="AB146" s="286">
        <f t="shared" si="426"/>
        <v>3200</v>
      </c>
      <c r="AC146" s="286">
        <f t="shared" si="427"/>
        <v>0</v>
      </c>
      <c r="AD146" s="286">
        <f t="shared" si="428"/>
        <v>1994.4166666666667</v>
      </c>
      <c r="AE146" s="286">
        <f t="shared" si="429"/>
        <v>2018</v>
      </c>
      <c r="AF146" s="286">
        <f t="shared" si="430"/>
        <v>2004.4166666666667</v>
      </c>
      <c r="AG146" s="286">
        <f t="shared" si="410"/>
        <v>2017</v>
      </c>
      <c r="AH146" s="286">
        <f t="shared" si="411"/>
        <v>-8.3333333333333329E-2</v>
      </c>
      <c r="AJ146" s="11">
        <f t="shared" si="412"/>
        <v>0</v>
      </c>
      <c r="AL146" s="11">
        <f t="shared" si="413"/>
        <v>0</v>
      </c>
      <c r="AN146" s="11">
        <f t="shared" si="414"/>
        <v>0</v>
      </c>
      <c r="AP146" s="11">
        <f t="shared" si="415"/>
        <v>0</v>
      </c>
      <c r="AR146" s="11">
        <f t="shared" si="416"/>
        <v>0</v>
      </c>
    </row>
    <row r="147" spans="3:44">
      <c r="C147" s="282">
        <v>39</v>
      </c>
      <c r="D147" s="318" t="s">
        <v>145</v>
      </c>
      <c r="E147" s="282">
        <v>1990</v>
      </c>
      <c r="F147" s="284">
        <v>12</v>
      </c>
      <c r="G147" s="307">
        <v>0</v>
      </c>
      <c r="H147" s="286"/>
      <c r="I147" s="308" t="s">
        <v>86</v>
      </c>
      <c r="J147" s="284">
        <v>10</v>
      </c>
      <c r="K147" s="309">
        <f t="shared" si="417"/>
        <v>2000</v>
      </c>
      <c r="N147" s="285">
        <v>2600</v>
      </c>
      <c r="P147" s="286">
        <f t="shared" si="418"/>
        <v>2600</v>
      </c>
      <c r="Q147" s="286">
        <f t="shared" si="419"/>
        <v>21.666666666666668</v>
      </c>
      <c r="R147" s="286">
        <f t="shared" si="420"/>
        <v>0</v>
      </c>
      <c r="T147" s="286">
        <f t="shared" si="421"/>
        <v>0</v>
      </c>
      <c r="U147" s="286">
        <v>1</v>
      </c>
      <c r="V147" s="286">
        <f t="shared" si="422"/>
        <v>0</v>
      </c>
      <c r="W147" s="286"/>
      <c r="X147" s="286">
        <f t="shared" si="423"/>
        <v>2600</v>
      </c>
      <c r="Y147" s="286">
        <f t="shared" si="424"/>
        <v>2600</v>
      </c>
      <c r="Z147" s="286">
        <v>1</v>
      </c>
      <c r="AA147" s="286">
        <f t="shared" si="425"/>
        <v>2600</v>
      </c>
      <c r="AB147" s="286">
        <f t="shared" si="426"/>
        <v>2600</v>
      </c>
      <c r="AC147" s="286">
        <f t="shared" si="427"/>
        <v>0</v>
      </c>
      <c r="AD147" s="286">
        <f t="shared" si="428"/>
        <v>1990.9166666666667</v>
      </c>
      <c r="AE147" s="286">
        <f t="shared" si="429"/>
        <v>2018</v>
      </c>
      <c r="AF147" s="286">
        <f t="shared" si="430"/>
        <v>2000.9166666666667</v>
      </c>
      <c r="AG147" s="286">
        <f t="shared" si="410"/>
        <v>2017</v>
      </c>
      <c r="AH147" s="286">
        <f t="shared" si="411"/>
        <v>-8.3333333333333329E-2</v>
      </c>
      <c r="AJ147" s="11">
        <f t="shared" si="412"/>
        <v>0</v>
      </c>
      <c r="AL147" s="11">
        <f t="shared" si="413"/>
        <v>0</v>
      </c>
      <c r="AN147" s="11">
        <f t="shared" si="414"/>
        <v>0</v>
      </c>
      <c r="AP147" s="11">
        <f t="shared" si="415"/>
        <v>0</v>
      </c>
      <c r="AR147" s="11">
        <f t="shared" si="416"/>
        <v>0</v>
      </c>
    </row>
    <row r="148" spans="3:44">
      <c r="C148" s="282">
        <v>50</v>
      </c>
      <c r="D148" s="318" t="s">
        <v>145</v>
      </c>
      <c r="E148" s="282">
        <v>1991</v>
      </c>
      <c r="F148" s="284">
        <v>1</v>
      </c>
      <c r="G148" s="307">
        <v>0</v>
      </c>
      <c r="H148" s="286"/>
      <c r="I148" s="308" t="s">
        <v>86</v>
      </c>
      <c r="J148" s="284">
        <v>10</v>
      </c>
      <c r="K148" s="309">
        <f t="shared" si="417"/>
        <v>2001</v>
      </c>
      <c r="N148" s="285">
        <v>2604</v>
      </c>
      <c r="P148" s="286">
        <f t="shared" si="418"/>
        <v>2604</v>
      </c>
      <c r="Q148" s="286">
        <f t="shared" si="419"/>
        <v>21.7</v>
      </c>
      <c r="R148" s="286">
        <f t="shared" si="420"/>
        <v>0</v>
      </c>
      <c r="T148" s="286">
        <f t="shared" si="421"/>
        <v>0</v>
      </c>
      <c r="U148" s="286">
        <v>1</v>
      </c>
      <c r="V148" s="286">
        <f t="shared" si="422"/>
        <v>0</v>
      </c>
      <c r="W148" s="286"/>
      <c r="X148" s="286">
        <f t="shared" si="423"/>
        <v>2604</v>
      </c>
      <c r="Y148" s="286">
        <f t="shared" si="424"/>
        <v>2604</v>
      </c>
      <c r="Z148" s="286">
        <v>1</v>
      </c>
      <c r="AA148" s="286">
        <f t="shared" si="425"/>
        <v>2604</v>
      </c>
      <c r="AB148" s="286">
        <f t="shared" si="426"/>
        <v>2604</v>
      </c>
      <c r="AC148" s="286">
        <f t="shared" si="427"/>
        <v>0</v>
      </c>
      <c r="AD148" s="286">
        <f t="shared" si="428"/>
        <v>1991</v>
      </c>
      <c r="AE148" s="286">
        <f t="shared" si="429"/>
        <v>2018</v>
      </c>
      <c r="AF148" s="286">
        <f t="shared" si="430"/>
        <v>2001</v>
      </c>
      <c r="AG148" s="286">
        <f t="shared" si="410"/>
        <v>2017</v>
      </c>
      <c r="AH148" s="286">
        <f t="shared" si="411"/>
        <v>-8.3333333333333329E-2</v>
      </c>
      <c r="AJ148" s="11">
        <f t="shared" si="412"/>
        <v>0</v>
      </c>
      <c r="AL148" s="11">
        <f t="shared" si="413"/>
        <v>0</v>
      </c>
      <c r="AN148" s="11">
        <f t="shared" si="414"/>
        <v>0</v>
      </c>
      <c r="AP148" s="11">
        <f t="shared" si="415"/>
        <v>0</v>
      </c>
      <c r="AR148" s="11">
        <f t="shared" si="416"/>
        <v>0</v>
      </c>
    </row>
    <row r="149" spans="3:44">
      <c r="C149" s="282">
        <v>51</v>
      </c>
      <c r="D149" s="318" t="s">
        <v>145</v>
      </c>
      <c r="E149" s="282">
        <v>1991</v>
      </c>
      <c r="F149" s="284">
        <v>4</v>
      </c>
      <c r="G149" s="307">
        <v>0</v>
      </c>
      <c r="H149" s="286"/>
      <c r="I149" s="308" t="s">
        <v>86</v>
      </c>
      <c r="J149" s="284">
        <v>10</v>
      </c>
      <c r="K149" s="309">
        <f t="shared" si="417"/>
        <v>2001</v>
      </c>
      <c r="N149" s="285">
        <v>1633</v>
      </c>
      <c r="P149" s="286">
        <f t="shared" si="418"/>
        <v>1633</v>
      </c>
      <c r="Q149" s="286">
        <f t="shared" si="419"/>
        <v>13.608333333333334</v>
      </c>
      <c r="R149" s="286">
        <f t="shared" si="420"/>
        <v>0</v>
      </c>
      <c r="T149" s="286">
        <f t="shared" si="421"/>
        <v>0</v>
      </c>
      <c r="U149" s="286">
        <v>1</v>
      </c>
      <c r="V149" s="286">
        <f t="shared" si="422"/>
        <v>0</v>
      </c>
      <c r="W149" s="286"/>
      <c r="X149" s="286">
        <f t="shared" si="423"/>
        <v>1633</v>
      </c>
      <c r="Y149" s="286">
        <f t="shared" si="424"/>
        <v>1633</v>
      </c>
      <c r="Z149" s="286">
        <v>1</v>
      </c>
      <c r="AA149" s="286">
        <f t="shared" si="425"/>
        <v>1633</v>
      </c>
      <c r="AB149" s="286">
        <f t="shared" si="426"/>
        <v>1633</v>
      </c>
      <c r="AC149" s="286">
        <f t="shared" si="427"/>
        <v>0</v>
      </c>
      <c r="AD149" s="286">
        <f t="shared" si="428"/>
        <v>1991.25</v>
      </c>
      <c r="AE149" s="286">
        <f t="shared" si="429"/>
        <v>2018</v>
      </c>
      <c r="AF149" s="286">
        <f t="shared" si="430"/>
        <v>2001.25</v>
      </c>
      <c r="AG149" s="286">
        <f t="shared" si="410"/>
        <v>2017</v>
      </c>
      <c r="AH149" s="286">
        <f t="shared" si="411"/>
        <v>-8.3333333333333329E-2</v>
      </c>
      <c r="AJ149" s="11">
        <f t="shared" si="412"/>
        <v>0</v>
      </c>
      <c r="AL149" s="11">
        <f t="shared" si="413"/>
        <v>0</v>
      </c>
      <c r="AN149" s="11">
        <f t="shared" si="414"/>
        <v>0</v>
      </c>
      <c r="AP149" s="11">
        <f t="shared" si="415"/>
        <v>0</v>
      </c>
      <c r="AR149" s="11">
        <f t="shared" si="416"/>
        <v>0</v>
      </c>
    </row>
    <row r="150" spans="3:44">
      <c r="C150" s="282">
        <v>52</v>
      </c>
      <c r="D150" s="318" t="s">
        <v>145</v>
      </c>
      <c r="E150" s="282">
        <v>1991</v>
      </c>
      <c r="F150" s="284">
        <v>5</v>
      </c>
      <c r="G150" s="307">
        <v>0</v>
      </c>
      <c r="H150" s="286"/>
      <c r="I150" s="308" t="s">
        <v>86</v>
      </c>
      <c r="J150" s="284">
        <v>10</v>
      </c>
      <c r="K150" s="309">
        <f t="shared" si="417"/>
        <v>2001</v>
      </c>
      <c r="N150" s="285">
        <v>3267</v>
      </c>
      <c r="P150" s="286">
        <f t="shared" si="418"/>
        <v>3267</v>
      </c>
      <c r="Q150" s="286">
        <f t="shared" si="419"/>
        <v>27.224999999999998</v>
      </c>
      <c r="R150" s="286">
        <f t="shared" si="420"/>
        <v>0</v>
      </c>
      <c r="T150" s="286">
        <f t="shared" si="421"/>
        <v>0</v>
      </c>
      <c r="U150" s="286">
        <v>1</v>
      </c>
      <c r="V150" s="286">
        <f t="shared" si="422"/>
        <v>0</v>
      </c>
      <c r="W150" s="286"/>
      <c r="X150" s="286">
        <f t="shared" si="423"/>
        <v>3267</v>
      </c>
      <c r="Y150" s="286">
        <f t="shared" si="424"/>
        <v>3267</v>
      </c>
      <c r="Z150" s="286">
        <v>1</v>
      </c>
      <c r="AA150" s="286">
        <f t="shared" si="425"/>
        <v>3267</v>
      </c>
      <c r="AB150" s="286">
        <f t="shared" si="426"/>
        <v>3267</v>
      </c>
      <c r="AC150" s="286">
        <f t="shared" si="427"/>
        <v>0</v>
      </c>
      <c r="AD150" s="286">
        <f t="shared" si="428"/>
        <v>1991.3333333333333</v>
      </c>
      <c r="AE150" s="286">
        <f t="shared" si="429"/>
        <v>2018</v>
      </c>
      <c r="AF150" s="286">
        <f t="shared" si="430"/>
        <v>2001.3333333333333</v>
      </c>
      <c r="AG150" s="286">
        <f t="shared" si="410"/>
        <v>2017</v>
      </c>
      <c r="AH150" s="286">
        <f t="shared" si="411"/>
        <v>-8.3333333333333329E-2</v>
      </c>
      <c r="AJ150" s="11">
        <f t="shared" si="412"/>
        <v>0</v>
      </c>
      <c r="AL150" s="11">
        <f t="shared" si="413"/>
        <v>0</v>
      </c>
      <c r="AN150" s="11">
        <f t="shared" si="414"/>
        <v>0</v>
      </c>
      <c r="AP150" s="11">
        <f t="shared" si="415"/>
        <v>0</v>
      </c>
      <c r="AR150" s="11">
        <f t="shared" si="416"/>
        <v>0</v>
      </c>
    </row>
    <row r="151" spans="3:44">
      <c r="C151" s="282">
        <v>50</v>
      </c>
      <c r="D151" s="306" t="s">
        <v>146</v>
      </c>
      <c r="E151" s="282">
        <v>1995</v>
      </c>
      <c r="F151" s="284">
        <v>9</v>
      </c>
      <c r="G151" s="307">
        <v>0</v>
      </c>
      <c r="H151" s="286"/>
      <c r="I151" s="308" t="s">
        <v>86</v>
      </c>
      <c r="J151" s="284">
        <v>10</v>
      </c>
      <c r="K151" s="309">
        <f t="shared" si="417"/>
        <v>2005</v>
      </c>
      <c r="N151" s="285">
        <v>16250</v>
      </c>
      <c r="P151" s="286">
        <f t="shared" si="418"/>
        <v>16250</v>
      </c>
      <c r="Q151" s="286">
        <f t="shared" si="419"/>
        <v>135.41666666666666</v>
      </c>
      <c r="R151" s="286">
        <f t="shared" si="420"/>
        <v>0</v>
      </c>
      <c r="T151" s="286">
        <f t="shared" si="421"/>
        <v>0</v>
      </c>
      <c r="U151" s="286">
        <v>1</v>
      </c>
      <c r="V151" s="286">
        <f t="shared" si="422"/>
        <v>0</v>
      </c>
      <c r="W151" s="286"/>
      <c r="X151" s="286">
        <f t="shared" si="423"/>
        <v>16250</v>
      </c>
      <c r="Y151" s="286">
        <f t="shared" si="424"/>
        <v>16250</v>
      </c>
      <c r="Z151" s="286">
        <v>1</v>
      </c>
      <c r="AA151" s="286">
        <f t="shared" si="425"/>
        <v>16250</v>
      </c>
      <c r="AB151" s="286">
        <f t="shared" si="426"/>
        <v>16250</v>
      </c>
      <c r="AC151" s="286">
        <f t="shared" si="427"/>
        <v>0</v>
      </c>
      <c r="AD151" s="286">
        <f t="shared" si="428"/>
        <v>1995.6666666666667</v>
      </c>
      <c r="AE151" s="286">
        <f t="shared" si="429"/>
        <v>2018</v>
      </c>
      <c r="AF151" s="286">
        <f t="shared" si="430"/>
        <v>2005.6666666666667</v>
      </c>
      <c r="AG151" s="286">
        <f t="shared" si="410"/>
        <v>2017</v>
      </c>
      <c r="AH151" s="286">
        <f t="shared" si="411"/>
        <v>-8.3333333333333329E-2</v>
      </c>
      <c r="AJ151" s="11">
        <f t="shared" si="412"/>
        <v>0</v>
      </c>
      <c r="AL151" s="11">
        <f t="shared" si="413"/>
        <v>0</v>
      </c>
      <c r="AN151" s="11">
        <f t="shared" si="414"/>
        <v>0</v>
      </c>
      <c r="AP151" s="11">
        <f t="shared" si="415"/>
        <v>0</v>
      </c>
      <c r="AR151" s="11">
        <f t="shared" si="416"/>
        <v>0</v>
      </c>
    </row>
    <row r="152" spans="3:44">
      <c r="C152" s="282">
        <v>15</v>
      </c>
      <c r="D152" s="282" t="s">
        <v>147</v>
      </c>
      <c r="E152" s="282">
        <v>1995</v>
      </c>
      <c r="F152" s="284">
        <v>10</v>
      </c>
      <c r="G152" s="307">
        <v>0</v>
      </c>
      <c r="H152" s="286"/>
      <c r="I152" s="308" t="s">
        <v>86</v>
      </c>
      <c r="J152" s="284">
        <v>10</v>
      </c>
      <c r="K152" s="309">
        <f t="shared" si="417"/>
        <v>2005</v>
      </c>
      <c r="N152" s="285">
        <v>4425</v>
      </c>
      <c r="P152" s="286">
        <f t="shared" si="418"/>
        <v>4425</v>
      </c>
      <c r="Q152" s="286">
        <f t="shared" si="419"/>
        <v>36.875</v>
      </c>
      <c r="R152" s="286">
        <f t="shared" si="420"/>
        <v>0</v>
      </c>
      <c r="T152" s="286">
        <f t="shared" si="421"/>
        <v>0</v>
      </c>
      <c r="U152" s="286">
        <v>1</v>
      </c>
      <c r="V152" s="286">
        <f t="shared" si="422"/>
        <v>0</v>
      </c>
      <c r="W152" s="286"/>
      <c r="X152" s="286">
        <f t="shared" si="423"/>
        <v>4425</v>
      </c>
      <c r="Y152" s="286">
        <f t="shared" si="424"/>
        <v>4425</v>
      </c>
      <c r="Z152" s="286">
        <v>1</v>
      </c>
      <c r="AA152" s="286">
        <f t="shared" si="425"/>
        <v>4425</v>
      </c>
      <c r="AB152" s="286">
        <f t="shared" si="426"/>
        <v>4425</v>
      </c>
      <c r="AC152" s="286">
        <f t="shared" si="427"/>
        <v>0</v>
      </c>
      <c r="AD152" s="286">
        <f t="shared" si="428"/>
        <v>1995.75</v>
      </c>
      <c r="AE152" s="286">
        <f t="shared" si="429"/>
        <v>2018</v>
      </c>
      <c r="AF152" s="286">
        <f t="shared" si="430"/>
        <v>2005.75</v>
      </c>
      <c r="AG152" s="286">
        <f t="shared" si="410"/>
        <v>2017</v>
      </c>
      <c r="AH152" s="286">
        <f t="shared" si="411"/>
        <v>-8.3333333333333329E-2</v>
      </c>
      <c r="AJ152" s="11">
        <f t="shared" si="412"/>
        <v>0</v>
      </c>
      <c r="AL152" s="11">
        <f t="shared" si="413"/>
        <v>0</v>
      </c>
      <c r="AN152" s="11">
        <f t="shared" si="414"/>
        <v>0</v>
      </c>
      <c r="AP152" s="11">
        <f t="shared" si="415"/>
        <v>0</v>
      </c>
      <c r="AR152" s="11">
        <f t="shared" si="416"/>
        <v>0</v>
      </c>
    </row>
    <row r="153" spans="3:44">
      <c r="C153" s="282">
        <v>20</v>
      </c>
      <c r="D153" s="306" t="s">
        <v>146</v>
      </c>
      <c r="E153" s="282">
        <v>1995</v>
      </c>
      <c r="F153" s="284">
        <v>11</v>
      </c>
      <c r="G153" s="307">
        <v>0</v>
      </c>
      <c r="H153" s="286"/>
      <c r="I153" s="308" t="s">
        <v>86</v>
      </c>
      <c r="J153" s="284">
        <v>10</v>
      </c>
      <c r="K153" s="309">
        <f t="shared" si="417"/>
        <v>2005</v>
      </c>
      <c r="N153" s="285">
        <v>1100</v>
      </c>
      <c r="P153" s="286">
        <f t="shared" si="418"/>
        <v>1100</v>
      </c>
      <c r="Q153" s="286">
        <f t="shared" si="419"/>
        <v>9.1666666666666661</v>
      </c>
      <c r="R153" s="286">
        <f t="shared" si="420"/>
        <v>0</v>
      </c>
      <c r="T153" s="286">
        <f t="shared" si="421"/>
        <v>0</v>
      </c>
      <c r="U153" s="286">
        <v>1</v>
      </c>
      <c r="V153" s="286">
        <f t="shared" si="422"/>
        <v>0</v>
      </c>
      <c r="W153" s="286"/>
      <c r="X153" s="286">
        <f t="shared" si="423"/>
        <v>1100</v>
      </c>
      <c r="Y153" s="286">
        <f t="shared" si="424"/>
        <v>1100</v>
      </c>
      <c r="Z153" s="286">
        <v>1</v>
      </c>
      <c r="AA153" s="286">
        <f t="shared" si="425"/>
        <v>1100</v>
      </c>
      <c r="AB153" s="286">
        <f t="shared" si="426"/>
        <v>1100</v>
      </c>
      <c r="AC153" s="286">
        <f t="shared" si="427"/>
        <v>0</v>
      </c>
      <c r="AD153" s="286">
        <f t="shared" si="428"/>
        <v>1995.8333333333333</v>
      </c>
      <c r="AE153" s="286">
        <f t="shared" si="429"/>
        <v>2018</v>
      </c>
      <c r="AF153" s="286">
        <f t="shared" si="430"/>
        <v>2005.8333333333333</v>
      </c>
      <c r="AG153" s="286">
        <f t="shared" si="410"/>
        <v>2017</v>
      </c>
      <c r="AH153" s="286">
        <f t="shared" si="411"/>
        <v>-8.3333333333333329E-2</v>
      </c>
      <c r="AJ153" s="11">
        <f t="shared" si="412"/>
        <v>0</v>
      </c>
      <c r="AL153" s="11">
        <f t="shared" si="413"/>
        <v>0</v>
      </c>
      <c r="AN153" s="11">
        <f t="shared" si="414"/>
        <v>0</v>
      </c>
      <c r="AP153" s="11">
        <f t="shared" si="415"/>
        <v>0</v>
      </c>
      <c r="AR153" s="11">
        <f t="shared" si="416"/>
        <v>0</v>
      </c>
    </row>
    <row r="154" spans="3:44">
      <c r="C154" s="282">
        <v>100</v>
      </c>
      <c r="D154" s="306" t="s">
        <v>146</v>
      </c>
      <c r="E154" s="282">
        <v>1995</v>
      </c>
      <c r="F154" s="284">
        <v>12</v>
      </c>
      <c r="G154" s="307">
        <v>0</v>
      </c>
      <c r="H154" s="286"/>
      <c r="I154" s="308" t="s">
        <v>86</v>
      </c>
      <c r="J154" s="284">
        <v>10</v>
      </c>
      <c r="K154" s="309">
        <f t="shared" si="417"/>
        <v>2005</v>
      </c>
      <c r="N154" s="285">
        <v>35500</v>
      </c>
      <c r="P154" s="286">
        <f t="shared" si="418"/>
        <v>35500</v>
      </c>
      <c r="Q154" s="286">
        <f t="shared" si="419"/>
        <v>295.83333333333331</v>
      </c>
      <c r="R154" s="286">
        <f t="shared" si="420"/>
        <v>0</v>
      </c>
      <c r="T154" s="286">
        <f t="shared" si="421"/>
        <v>0</v>
      </c>
      <c r="U154" s="286">
        <v>1</v>
      </c>
      <c r="V154" s="286">
        <f t="shared" si="422"/>
        <v>0</v>
      </c>
      <c r="W154" s="286"/>
      <c r="X154" s="286">
        <f t="shared" si="423"/>
        <v>35500</v>
      </c>
      <c r="Y154" s="286">
        <f t="shared" si="424"/>
        <v>35500</v>
      </c>
      <c r="Z154" s="286">
        <v>1</v>
      </c>
      <c r="AA154" s="286">
        <f t="shared" si="425"/>
        <v>35500</v>
      </c>
      <c r="AB154" s="286">
        <f t="shared" si="426"/>
        <v>35500</v>
      </c>
      <c r="AC154" s="286">
        <f t="shared" si="427"/>
        <v>0</v>
      </c>
      <c r="AD154" s="286">
        <f t="shared" si="428"/>
        <v>1995.9166666666667</v>
      </c>
      <c r="AE154" s="286">
        <f t="shared" si="429"/>
        <v>2018</v>
      </c>
      <c r="AF154" s="286">
        <f t="shared" si="430"/>
        <v>2005.9166666666667</v>
      </c>
      <c r="AG154" s="286">
        <f t="shared" si="410"/>
        <v>2017</v>
      </c>
      <c r="AH154" s="286">
        <f t="shared" si="411"/>
        <v>-8.3333333333333329E-2</v>
      </c>
      <c r="AJ154" s="11">
        <f t="shared" si="412"/>
        <v>0</v>
      </c>
      <c r="AL154" s="11">
        <f t="shared" si="413"/>
        <v>0</v>
      </c>
      <c r="AN154" s="11">
        <f t="shared" si="414"/>
        <v>0</v>
      </c>
      <c r="AP154" s="11">
        <f t="shared" si="415"/>
        <v>0</v>
      </c>
      <c r="AR154" s="11">
        <f t="shared" si="416"/>
        <v>0</v>
      </c>
    </row>
    <row r="155" spans="3:44">
      <c r="C155" s="282">
        <v>10</v>
      </c>
      <c r="D155" s="306" t="s">
        <v>148</v>
      </c>
      <c r="E155" s="282">
        <v>1996</v>
      </c>
      <c r="F155" s="284">
        <v>4</v>
      </c>
      <c r="G155" s="307">
        <v>0</v>
      </c>
      <c r="H155" s="286"/>
      <c r="I155" s="308" t="s">
        <v>86</v>
      </c>
      <c r="J155" s="284">
        <v>10</v>
      </c>
      <c r="K155" s="309">
        <f t="shared" si="417"/>
        <v>2006</v>
      </c>
      <c r="N155" s="285">
        <v>2750</v>
      </c>
      <c r="P155" s="286">
        <f t="shared" si="418"/>
        <v>2750</v>
      </c>
      <c r="Q155" s="286">
        <f t="shared" si="419"/>
        <v>22.916666666666668</v>
      </c>
      <c r="R155" s="286">
        <f>IF(O155&gt;0,0,IF(OR(AD155&gt;AE155,AF155&lt;AG155),0,IF(AND(AF155&gt;=AG155,AF155&lt;=AE155),Q155*((AF155-AG155)*12),IF(AND(AG155&lt;=AD155,AE155&gt;=AD155),((AE155-AD155)*12)*Q155,IF(AF155&gt;AE155,12*Q155,0)))))</f>
        <v>0</v>
      </c>
      <c r="T155" s="286">
        <f t="shared" si="421"/>
        <v>0</v>
      </c>
      <c r="U155" s="286">
        <v>1</v>
      </c>
      <c r="V155" s="286">
        <f t="shared" si="422"/>
        <v>0</v>
      </c>
      <c r="W155" s="286"/>
      <c r="X155" s="286">
        <f t="shared" si="423"/>
        <v>2750</v>
      </c>
      <c r="Y155" s="286">
        <f t="shared" si="424"/>
        <v>2750</v>
      </c>
      <c r="Z155" s="286">
        <v>1</v>
      </c>
      <c r="AA155" s="286">
        <f t="shared" si="425"/>
        <v>2750</v>
      </c>
      <c r="AB155" s="286">
        <f t="shared" si="426"/>
        <v>2750</v>
      </c>
      <c r="AC155" s="286">
        <f t="shared" si="427"/>
        <v>0</v>
      </c>
      <c r="AD155" s="286">
        <f t="shared" si="428"/>
        <v>1996.25</v>
      </c>
      <c r="AE155" s="286">
        <f t="shared" si="429"/>
        <v>2018</v>
      </c>
      <c r="AF155" s="286">
        <f t="shared" si="430"/>
        <v>2006.25</v>
      </c>
      <c r="AG155" s="286">
        <f t="shared" si="410"/>
        <v>2017</v>
      </c>
      <c r="AH155" s="286">
        <f t="shared" si="411"/>
        <v>-8.3333333333333329E-2</v>
      </c>
      <c r="AJ155" s="11">
        <f t="shared" si="412"/>
        <v>0</v>
      </c>
      <c r="AL155" s="11">
        <f t="shared" si="413"/>
        <v>0</v>
      </c>
      <c r="AN155" s="11">
        <f t="shared" si="414"/>
        <v>0</v>
      </c>
      <c r="AP155" s="11">
        <f t="shared" si="415"/>
        <v>0</v>
      </c>
      <c r="AR155" s="11">
        <f t="shared" si="416"/>
        <v>0</v>
      </c>
    </row>
    <row r="156" spans="3:44">
      <c r="C156" s="282">
        <v>20</v>
      </c>
      <c r="D156" s="306" t="s">
        <v>147</v>
      </c>
      <c r="E156" s="282">
        <v>1996</v>
      </c>
      <c r="F156" s="284">
        <v>5</v>
      </c>
      <c r="G156" s="307">
        <v>0</v>
      </c>
      <c r="H156" s="286"/>
      <c r="I156" s="308" t="s">
        <v>86</v>
      </c>
      <c r="J156" s="284">
        <v>10</v>
      </c>
      <c r="K156" s="309">
        <f t="shared" si="417"/>
        <v>2006</v>
      </c>
      <c r="N156" s="285">
        <v>5900</v>
      </c>
      <c r="P156" s="286">
        <f t="shared" si="418"/>
        <v>5900</v>
      </c>
      <c r="Q156" s="286">
        <f t="shared" si="419"/>
        <v>49.166666666666664</v>
      </c>
      <c r="R156" s="286">
        <f t="shared" ref="R156:R172" si="431">IF(O156&gt;0,0,IF(OR(AD156&gt;AE156,AF156&lt;AG156),0,IF(AND(AF156&gt;=AG156,AF156&lt;=AE156),Q156*((AF156-AG156)*12),IF(AND(AG156&lt;=AD156,AE156&gt;=AD156),((AE156-AD156)*12)*Q156,IF(AF156&gt;AE156,12*Q156,0)))))</f>
        <v>0</v>
      </c>
      <c r="T156" s="286">
        <f t="shared" si="421"/>
        <v>0</v>
      </c>
      <c r="U156" s="286">
        <v>1</v>
      </c>
      <c r="V156" s="286">
        <f t="shared" si="422"/>
        <v>0</v>
      </c>
      <c r="W156" s="286"/>
      <c r="X156" s="286">
        <f t="shared" si="423"/>
        <v>5900</v>
      </c>
      <c r="Y156" s="286">
        <f t="shared" si="424"/>
        <v>5900</v>
      </c>
      <c r="Z156" s="286">
        <v>1</v>
      </c>
      <c r="AA156" s="286">
        <f t="shared" si="425"/>
        <v>5900</v>
      </c>
      <c r="AB156" s="286">
        <f t="shared" si="426"/>
        <v>5900</v>
      </c>
      <c r="AC156" s="286">
        <f t="shared" si="427"/>
        <v>0</v>
      </c>
      <c r="AD156" s="286">
        <f t="shared" si="428"/>
        <v>1996.3333333333333</v>
      </c>
      <c r="AE156" s="286">
        <f t="shared" si="429"/>
        <v>2018</v>
      </c>
      <c r="AF156" s="286">
        <f t="shared" si="430"/>
        <v>2006.3333333333333</v>
      </c>
      <c r="AG156" s="286">
        <f t="shared" si="410"/>
        <v>2017</v>
      </c>
      <c r="AH156" s="286">
        <f t="shared" si="411"/>
        <v>-8.3333333333333329E-2</v>
      </c>
      <c r="AJ156" s="11">
        <f t="shared" si="412"/>
        <v>0</v>
      </c>
      <c r="AL156" s="11">
        <f t="shared" si="413"/>
        <v>0</v>
      </c>
      <c r="AN156" s="11">
        <f t="shared" si="414"/>
        <v>0</v>
      </c>
      <c r="AP156" s="11">
        <f t="shared" si="415"/>
        <v>0</v>
      </c>
      <c r="AR156" s="11">
        <f t="shared" si="416"/>
        <v>0</v>
      </c>
    </row>
    <row r="157" spans="3:44">
      <c r="C157" s="282">
        <v>20</v>
      </c>
      <c r="D157" s="306" t="s">
        <v>146</v>
      </c>
      <c r="E157" s="282">
        <v>1996</v>
      </c>
      <c r="F157" s="284">
        <v>5</v>
      </c>
      <c r="G157" s="307">
        <v>0</v>
      </c>
      <c r="H157" s="286"/>
      <c r="I157" s="308" t="s">
        <v>86</v>
      </c>
      <c r="J157" s="284">
        <v>10</v>
      </c>
      <c r="K157" s="309">
        <f t="shared" si="417"/>
        <v>2006</v>
      </c>
      <c r="N157" s="285">
        <v>6500</v>
      </c>
      <c r="P157" s="286">
        <f t="shared" si="418"/>
        <v>6500</v>
      </c>
      <c r="Q157" s="286">
        <f t="shared" si="419"/>
        <v>54.166666666666664</v>
      </c>
      <c r="R157" s="286">
        <f t="shared" si="431"/>
        <v>0</v>
      </c>
      <c r="T157" s="286">
        <f t="shared" si="421"/>
        <v>0</v>
      </c>
      <c r="U157" s="286">
        <v>1</v>
      </c>
      <c r="V157" s="286">
        <f t="shared" si="422"/>
        <v>0</v>
      </c>
      <c r="W157" s="286"/>
      <c r="X157" s="286">
        <f t="shared" si="423"/>
        <v>6500</v>
      </c>
      <c r="Y157" s="286">
        <f t="shared" si="424"/>
        <v>6500</v>
      </c>
      <c r="Z157" s="286">
        <v>1</v>
      </c>
      <c r="AA157" s="286">
        <f t="shared" si="425"/>
        <v>6500</v>
      </c>
      <c r="AB157" s="286">
        <f t="shared" si="426"/>
        <v>6500</v>
      </c>
      <c r="AC157" s="286">
        <f t="shared" si="427"/>
        <v>0</v>
      </c>
      <c r="AD157" s="286">
        <f t="shared" si="428"/>
        <v>1996.3333333333333</v>
      </c>
      <c r="AE157" s="286">
        <f t="shared" si="429"/>
        <v>2018</v>
      </c>
      <c r="AF157" s="286">
        <f t="shared" si="430"/>
        <v>2006.3333333333333</v>
      </c>
      <c r="AG157" s="286">
        <f t="shared" si="410"/>
        <v>2017</v>
      </c>
      <c r="AH157" s="286">
        <f t="shared" si="411"/>
        <v>-8.3333333333333329E-2</v>
      </c>
      <c r="AJ157" s="11">
        <f t="shared" si="412"/>
        <v>0</v>
      </c>
      <c r="AL157" s="11">
        <f t="shared" si="413"/>
        <v>0</v>
      </c>
      <c r="AN157" s="11">
        <f t="shared" si="414"/>
        <v>0</v>
      </c>
      <c r="AP157" s="11">
        <f t="shared" si="415"/>
        <v>0</v>
      </c>
      <c r="AR157" s="11">
        <f t="shared" si="416"/>
        <v>0</v>
      </c>
    </row>
    <row r="158" spans="3:44">
      <c r="C158" s="282">
        <v>20</v>
      </c>
      <c r="D158" s="306" t="s">
        <v>146</v>
      </c>
      <c r="E158" s="282">
        <v>1996</v>
      </c>
      <c r="F158" s="284">
        <v>6</v>
      </c>
      <c r="G158" s="307">
        <v>0</v>
      </c>
      <c r="H158" s="286"/>
      <c r="I158" s="308" t="s">
        <v>86</v>
      </c>
      <c r="J158" s="284">
        <v>10</v>
      </c>
      <c r="K158" s="309">
        <f t="shared" si="417"/>
        <v>2006</v>
      </c>
      <c r="N158" s="285">
        <v>7400</v>
      </c>
      <c r="P158" s="286">
        <f t="shared" si="418"/>
        <v>7400</v>
      </c>
      <c r="Q158" s="286">
        <f t="shared" si="419"/>
        <v>61.666666666666664</v>
      </c>
      <c r="R158" s="286">
        <f t="shared" si="431"/>
        <v>0</v>
      </c>
      <c r="T158" s="286">
        <f t="shared" si="421"/>
        <v>0</v>
      </c>
      <c r="U158" s="286">
        <v>1</v>
      </c>
      <c r="V158" s="286">
        <f t="shared" si="422"/>
        <v>0</v>
      </c>
      <c r="W158" s="286"/>
      <c r="X158" s="286">
        <f t="shared" si="423"/>
        <v>7400</v>
      </c>
      <c r="Y158" s="286">
        <f t="shared" si="424"/>
        <v>7400</v>
      </c>
      <c r="Z158" s="286">
        <v>1</v>
      </c>
      <c r="AA158" s="286">
        <f t="shared" si="425"/>
        <v>7400</v>
      </c>
      <c r="AB158" s="286">
        <f t="shared" si="426"/>
        <v>7400</v>
      </c>
      <c r="AC158" s="286">
        <f t="shared" si="427"/>
        <v>0</v>
      </c>
      <c r="AD158" s="286">
        <f t="shared" si="428"/>
        <v>1996.4166666666667</v>
      </c>
      <c r="AE158" s="286">
        <f t="shared" si="429"/>
        <v>2018</v>
      </c>
      <c r="AF158" s="286">
        <f t="shared" si="430"/>
        <v>2006.4166666666667</v>
      </c>
      <c r="AG158" s="286">
        <f t="shared" si="410"/>
        <v>2017</v>
      </c>
      <c r="AH158" s="286">
        <f t="shared" si="411"/>
        <v>-8.3333333333333329E-2</v>
      </c>
      <c r="AJ158" s="11">
        <f t="shared" si="412"/>
        <v>0</v>
      </c>
      <c r="AL158" s="11">
        <f t="shared" si="413"/>
        <v>0</v>
      </c>
      <c r="AN158" s="11">
        <f t="shared" si="414"/>
        <v>0</v>
      </c>
      <c r="AP158" s="11">
        <f t="shared" si="415"/>
        <v>0</v>
      </c>
      <c r="AR158" s="11">
        <f t="shared" si="416"/>
        <v>0</v>
      </c>
    </row>
    <row r="159" spans="3:44">
      <c r="C159" s="282">
        <v>10</v>
      </c>
      <c r="D159" s="306" t="s">
        <v>146</v>
      </c>
      <c r="E159" s="282">
        <v>1996</v>
      </c>
      <c r="F159" s="284">
        <v>9</v>
      </c>
      <c r="G159" s="307">
        <v>0</v>
      </c>
      <c r="H159" s="286"/>
      <c r="I159" s="308" t="s">
        <v>86</v>
      </c>
      <c r="J159" s="284">
        <v>10</v>
      </c>
      <c r="K159" s="309">
        <f t="shared" si="417"/>
        <v>2006</v>
      </c>
      <c r="N159" s="285">
        <v>3250</v>
      </c>
      <c r="P159" s="286">
        <f t="shared" si="418"/>
        <v>3250</v>
      </c>
      <c r="Q159" s="286">
        <f t="shared" si="419"/>
        <v>27.083333333333332</v>
      </c>
      <c r="R159" s="286">
        <f t="shared" si="431"/>
        <v>0</v>
      </c>
      <c r="T159" s="286">
        <f t="shared" si="421"/>
        <v>0</v>
      </c>
      <c r="U159" s="286">
        <v>1</v>
      </c>
      <c r="V159" s="286">
        <f t="shared" si="422"/>
        <v>0</v>
      </c>
      <c r="W159" s="286"/>
      <c r="X159" s="286">
        <f t="shared" si="423"/>
        <v>3250</v>
      </c>
      <c r="Y159" s="286">
        <f t="shared" si="424"/>
        <v>3250</v>
      </c>
      <c r="Z159" s="286">
        <v>1</v>
      </c>
      <c r="AA159" s="286">
        <f t="shared" si="425"/>
        <v>3250</v>
      </c>
      <c r="AB159" s="286">
        <f t="shared" si="426"/>
        <v>3250</v>
      </c>
      <c r="AC159" s="286">
        <f t="shared" si="427"/>
        <v>0</v>
      </c>
      <c r="AD159" s="286">
        <f t="shared" si="428"/>
        <v>1996.6666666666667</v>
      </c>
      <c r="AE159" s="286">
        <f t="shared" si="429"/>
        <v>2018</v>
      </c>
      <c r="AF159" s="286">
        <f t="shared" si="430"/>
        <v>2006.6666666666667</v>
      </c>
      <c r="AG159" s="286">
        <f t="shared" si="410"/>
        <v>2017</v>
      </c>
      <c r="AH159" s="286">
        <f t="shared" si="411"/>
        <v>-8.3333333333333329E-2</v>
      </c>
      <c r="AJ159" s="11">
        <f t="shared" si="412"/>
        <v>0</v>
      </c>
      <c r="AL159" s="11">
        <f t="shared" si="413"/>
        <v>0</v>
      </c>
      <c r="AN159" s="11">
        <f t="shared" si="414"/>
        <v>0</v>
      </c>
      <c r="AP159" s="11">
        <f t="shared" si="415"/>
        <v>0</v>
      </c>
      <c r="AR159" s="11">
        <f t="shared" si="416"/>
        <v>0</v>
      </c>
    </row>
    <row r="160" spans="3:44">
      <c r="C160" s="282">
        <v>20</v>
      </c>
      <c r="D160" s="306" t="s">
        <v>146</v>
      </c>
      <c r="E160" s="282">
        <v>1996</v>
      </c>
      <c r="F160" s="284">
        <v>8</v>
      </c>
      <c r="G160" s="307">
        <v>0</v>
      </c>
      <c r="H160" s="286"/>
      <c r="I160" s="308" t="s">
        <v>86</v>
      </c>
      <c r="J160" s="284">
        <v>10</v>
      </c>
      <c r="K160" s="309">
        <f t="shared" si="417"/>
        <v>2006</v>
      </c>
      <c r="N160" s="285">
        <v>6534</v>
      </c>
      <c r="P160" s="286">
        <f t="shared" si="418"/>
        <v>6534</v>
      </c>
      <c r="Q160" s="286">
        <f t="shared" si="419"/>
        <v>54.449999999999996</v>
      </c>
      <c r="R160" s="286">
        <f t="shared" si="431"/>
        <v>0</v>
      </c>
      <c r="T160" s="286">
        <f t="shared" si="421"/>
        <v>0</v>
      </c>
      <c r="U160" s="286">
        <v>1</v>
      </c>
      <c r="V160" s="286">
        <f t="shared" si="422"/>
        <v>0</v>
      </c>
      <c r="W160" s="286"/>
      <c r="X160" s="286">
        <f t="shared" si="423"/>
        <v>6534</v>
      </c>
      <c r="Y160" s="286">
        <f t="shared" si="424"/>
        <v>6534</v>
      </c>
      <c r="Z160" s="286">
        <v>1</v>
      </c>
      <c r="AA160" s="286">
        <f t="shared" si="425"/>
        <v>6534</v>
      </c>
      <c r="AB160" s="286">
        <f t="shared" si="426"/>
        <v>6534</v>
      </c>
      <c r="AC160" s="286">
        <f t="shared" si="427"/>
        <v>0</v>
      </c>
      <c r="AD160" s="286">
        <f t="shared" si="428"/>
        <v>1996.5833333333333</v>
      </c>
      <c r="AE160" s="286">
        <f t="shared" si="429"/>
        <v>2018</v>
      </c>
      <c r="AF160" s="286">
        <f t="shared" si="430"/>
        <v>2006.5833333333333</v>
      </c>
      <c r="AG160" s="286">
        <f t="shared" si="410"/>
        <v>2017</v>
      </c>
      <c r="AH160" s="286">
        <f t="shared" si="411"/>
        <v>-8.3333333333333329E-2</v>
      </c>
      <c r="AJ160" s="11">
        <f t="shared" si="412"/>
        <v>0</v>
      </c>
      <c r="AL160" s="11">
        <f t="shared" si="413"/>
        <v>0</v>
      </c>
      <c r="AN160" s="11">
        <f t="shared" si="414"/>
        <v>0</v>
      </c>
      <c r="AP160" s="11">
        <f t="shared" si="415"/>
        <v>0</v>
      </c>
      <c r="AR160" s="11">
        <f t="shared" si="416"/>
        <v>0</v>
      </c>
    </row>
    <row r="161" spans="3:44">
      <c r="C161" s="282">
        <v>114</v>
      </c>
      <c r="D161" s="306" t="s">
        <v>16</v>
      </c>
      <c r="E161" s="282">
        <v>1997</v>
      </c>
      <c r="F161" s="284">
        <v>2</v>
      </c>
      <c r="G161" s="307">
        <v>0</v>
      </c>
      <c r="H161" s="286"/>
      <c r="I161" s="308" t="s">
        <v>86</v>
      </c>
      <c r="J161" s="284">
        <v>10</v>
      </c>
      <c r="K161" s="309">
        <f t="shared" si="417"/>
        <v>2007</v>
      </c>
      <c r="N161" s="285">
        <v>9180</v>
      </c>
      <c r="P161" s="286">
        <f t="shared" si="418"/>
        <v>9180</v>
      </c>
      <c r="Q161" s="286">
        <f t="shared" si="419"/>
        <v>76.5</v>
      </c>
      <c r="R161" s="286">
        <f t="shared" si="431"/>
        <v>0</v>
      </c>
      <c r="T161" s="286">
        <f t="shared" si="421"/>
        <v>0</v>
      </c>
      <c r="U161" s="286">
        <v>1</v>
      </c>
      <c r="V161" s="286">
        <f t="shared" si="422"/>
        <v>0</v>
      </c>
      <c r="W161" s="286"/>
      <c r="X161" s="286">
        <f t="shared" si="423"/>
        <v>9180</v>
      </c>
      <c r="Y161" s="286">
        <f t="shared" si="424"/>
        <v>9180</v>
      </c>
      <c r="Z161" s="286">
        <v>1</v>
      </c>
      <c r="AA161" s="286">
        <f t="shared" si="425"/>
        <v>9180</v>
      </c>
      <c r="AB161" s="286">
        <f t="shared" si="426"/>
        <v>9180</v>
      </c>
      <c r="AC161" s="286">
        <f t="shared" si="427"/>
        <v>0</v>
      </c>
      <c r="AD161" s="286">
        <f t="shared" si="428"/>
        <v>1997.0833333333333</v>
      </c>
      <c r="AE161" s="286">
        <f t="shared" si="429"/>
        <v>2018</v>
      </c>
      <c r="AF161" s="286">
        <f t="shared" si="430"/>
        <v>2007.0833333333333</v>
      </c>
      <c r="AG161" s="286">
        <f t="shared" si="410"/>
        <v>2017</v>
      </c>
      <c r="AH161" s="286">
        <f t="shared" si="411"/>
        <v>-8.3333333333333329E-2</v>
      </c>
      <c r="AJ161" s="11">
        <f t="shared" si="412"/>
        <v>0</v>
      </c>
      <c r="AL161" s="11">
        <f t="shared" si="413"/>
        <v>0</v>
      </c>
      <c r="AN161" s="11">
        <f t="shared" si="414"/>
        <v>0</v>
      </c>
      <c r="AP161" s="11">
        <f t="shared" si="415"/>
        <v>0</v>
      </c>
      <c r="AR161" s="11">
        <f t="shared" si="416"/>
        <v>0</v>
      </c>
    </row>
    <row r="162" spans="3:44">
      <c r="C162" s="282">
        <v>115</v>
      </c>
      <c r="D162" s="306" t="s">
        <v>16</v>
      </c>
      <c r="E162" s="282">
        <v>1997</v>
      </c>
      <c r="F162" s="284">
        <v>5</v>
      </c>
      <c r="G162" s="307">
        <v>0</v>
      </c>
      <c r="H162" s="286"/>
      <c r="I162" s="308" t="s">
        <v>86</v>
      </c>
      <c r="J162" s="284">
        <v>10</v>
      </c>
      <c r="K162" s="309">
        <f t="shared" si="417"/>
        <v>2007</v>
      </c>
      <c r="N162" s="285">
        <v>6300</v>
      </c>
      <c r="P162" s="286">
        <f t="shared" si="418"/>
        <v>6300</v>
      </c>
      <c r="Q162" s="286">
        <f t="shared" si="419"/>
        <v>52.5</v>
      </c>
      <c r="R162" s="286">
        <f t="shared" si="431"/>
        <v>0</v>
      </c>
      <c r="T162" s="286">
        <f t="shared" si="421"/>
        <v>0</v>
      </c>
      <c r="U162" s="286">
        <v>1</v>
      </c>
      <c r="V162" s="286">
        <f t="shared" si="422"/>
        <v>0</v>
      </c>
      <c r="W162" s="286"/>
      <c r="X162" s="286">
        <f t="shared" si="423"/>
        <v>6300</v>
      </c>
      <c r="Y162" s="286">
        <f t="shared" si="424"/>
        <v>6300</v>
      </c>
      <c r="Z162" s="286">
        <v>1</v>
      </c>
      <c r="AA162" s="286">
        <f t="shared" si="425"/>
        <v>6300</v>
      </c>
      <c r="AB162" s="286">
        <f t="shared" si="426"/>
        <v>6300</v>
      </c>
      <c r="AC162" s="286">
        <f t="shared" si="427"/>
        <v>0</v>
      </c>
      <c r="AD162" s="286">
        <f t="shared" si="428"/>
        <v>1997.3333333333333</v>
      </c>
      <c r="AE162" s="286">
        <f t="shared" si="429"/>
        <v>2018</v>
      </c>
      <c r="AF162" s="286">
        <f t="shared" si="430"/>
        <v>2007.3333333333333</v>
      </c>
      <c r="AG162" s="286">
        <f t="shared" si="410"/>
        <v>2017</v>
      </c>
      <c r="AH162" s="286">
        <f t="shared" si="411"/>
        <v>-8.3333333333333329E-2</v>
      </c>
      <c r="AJ162" s="11">
        <f t="shared" si="412"/>
        <v>0</v>
      </c>
      <c r="AL162" s="11">
        <f t="shared" si="413"/>
        <v>0</v>
      </c>
      <c r="AN162" s="11">
        <f t="shared" si="414"/>
        <v>0</v>
      </c>
      <c r="AP162" s="11">
        <f t="shared" si="415"/>
        <v>0</v>
      </c>
      <c r="AR162" s="11">
        <f t="shared" si="416"/>
        <v>0</v>
      </c>
    </row>
    <row r="163" spans="3:44">
      <c r="C163" s="282">
        <v>116</v>
      </c>
      <c r="D163" s="306" t="s">
        <v>16</v>
      </c>
      <c r="E163" s="282">
        <v>1997</v>
      </c>
      <c r="F163" s="284">
        <v>7</v>
      </c>
      <c r="G163" s="307">
        <v>0</v>
      </c>
      <c r="H163" s="286"/>
      <c r="I163" s="308" t="s">
        <v>86</v>
      </c>
      <c r="J163" s="284">
        <v>10</v>
      </c>
      <c r="K163" s="309">
        <f t="shared" si="417"/>
        <v>2007</v>
      </c>
      <c r="N163" s="285">
        <v>3373</v>
      </c>
      <c r="P163" s="286">
        <f t="shared" si="418"/>
        <v>3373</v>
      </c>
      <c r="Q163" s="286">
        <f t="shared" si="419"/>
        <v>28.108333333333334</v>
      </c>
      <c r="R163" s="286">
        <f t="shared" si="431"/>
        <v>0</v>
      </c>
      <c r="T163" s="286">
        <f t="shared" si="421"/>
        <v>0</v>
      </c>
      <c r="U163" s="286">
        <v>1</v>
      </c>
      <c r="V163" s="286">
        <f t="shared" si="422"/>
        <v>0</v>
      </c>
      <c r="W163" s="286"/>
      <c r="X163" s="286">
        <f t="shared" si="423"/>
        <v>3373</v>
      </c>
      <c r="Y163" s="286">
        <f t="shared" si="424"/>
        <v>3373</v>
      </c>
      <c r="Z163" s="286">
        <v>1</v>
      </c>
      <c r="AA163" s="286">
        <f t="shared" si="425"/>
        <v>3373</v>
      </c>
      <c r="AB163" s="286">
        <f t="shared" si="426"/>
        <v>3373</v>
      </c>
      <c r="AC163" s="286">
        <f t="shared" si="427"/>
        <v>0</v>
      </c>
      <c r="AD163" s="286">
        <f t="shared" si="428"/>
        <v>1997.5</v>
      </c>
      <c r="AE163" s="286">
        <f t="shared" si="429"/>
        <v>2018</v>
      </c>
      <c r="AF163" s="286">
        <f t="shared" si="430"/>
        <v>2007.5</v>
      </c>
      <c r="AG163" s="286">
        <f t="shared" si="410"/>
        <v>2017</v>
      </c>
      <c r="AH163" s="286">
        <f t="shared" si="411"/>
        <v>-8.3333333333333329E-2</v>
      </c>
      <c r="AJ163" s="11">
        <f t="shared" si="412"/>
        <v>0</v>
      </c>
      <c r="AL163" s="11">
        <f t="shared" si="413"/>
        <v>0</v>
      </c>
      <c r="AN163" s="11">
        <f t="shared" si="414"/>
        <v>0</v>
      </c>
      <c r="AP163" s="11">
        <f t="shared" si="415"/>
        <v>0</v>
      </c>
      <c r="AR163" s="11">
        <f t="shared" si="416"/>
        <v>0</v>
      </c>
    </row>
    <row r="164" spans="3:44">
      <c r="C164" s="282">
        <v>117</v>
      </c>
      <c r="D164" s="306" t="s">
        <v>16</v>
      </c>
      <c r="E164" s="282">
        <v>1997</v>
      </c>
      <c r="F164" s="284">
        <v>8</v>
      </c>
      <c r="G164" s="307">
        <v>0</v>
      </c>
      <c r="H164" s="286"/>
      <c r="I164" s="308" t="s">
        <v>86</v>
      </c>
      <c r="J164" s="284">
        <v>10</v>
      </c>
      <c r="K164" s="309">
        <f t="shared" si="417"/>
        <v>2007</v>
      </c>
      <c r="N164" s="285">
        <v>13190</v>
      </c>
      <c r="P164" s="286">
        <f t="shared" si="418"/>
        <v>13190</v>
      </c>
      <c r="Q164" s="286">
        <f t="shared" si="419"/>
        <v>109.91666666666667</v>
      </c>
      <c r="R164" s="286">
        <f t="shared" si="431"/>
        <v>0</v>
      </c>
      <c r="T164" s="286">
        <f t="shared" si="421"/>
        <v>0</v>
      </c>
      <c r="U164" s="286">
        <v>1</v>
      </c>
      <c r="V164" s="286">
        <f t="shared" si="422"/>
        <v>0</v>
      </c>
      <c r="W164" s="286"/>
      <c r="X164" s="286">
        <f t="shared" si="423"/>
        <v>13190</v>
      </c>
      <c r="Y164" s="286">
        <f t="shared" si="424"/>
        <v>13190</v>
      </c>
      <c r="Z164" s="286">
        <v>1</v>
      </c>
      <c r="AA164" s="286">
        <f t="shared" si="425"/>
        <v>13190</v>
      </c>
      <c r="AB164" s="286">
        <f t="shared" si="426"/>
        <v>13190</v>
      </c>
      <c r="AC164" s="286">
        <f t="shared" si="427"/>
        <v>0</v>
      </c>
      <c r="AD164" s="286">
        <f t="shared" si="428"/>
        <v>1997.5833333333333</v>
      </c>
      <c r="AE164" s="286">
        <f t="shared" si="429"/>
        <v>2018</v>
      </c>
      <c r="AF164" s="286">
        <f t="shared" si="430"/>
        <v>2007.5833333333333</v>
      </c>
      <c r="AG164" s="286">
        <f t="shared" si="410"/>
        <v>2017</v>
      </c>
      <c r="AH164" s="286">
        <f t="shared" si="411"/>
        <v>-8.3333333333333329E-2</v>
      </c>
      <c r="AJ164" s="11">
        <f t="shared" si="412"/>
        <v>0</v>
      </c>
      <c r="AL164" s="11">
        <f t="shared" si="413"/>
        <v>0</v>
      </c>
      <c r="AN164" s="11">
        <f t="shared" si="414"/>
        <v>0</v>
      </c>
      <c r="AP164" s="11">
        <f t="shared" si="415"/>
        <v>0</v>
      </c>
      <c r="AR164" s="11">
        <f t="shared" si="416"/>
        <v>0</v>
      </c>
    </row>
    <row r="165" spans="3:44">
      <c r="C165" s="282">
        <v>118</v>
      </c>
      <c r="D165" s="306" t="s">
        <v>16</v>
      </c>
      <c r="E165" s="282">
        <v>1997</v>
      </c>
      <c r="F165" s="284">
        <v>9</v>
      </c>
      <c r="G165" s="307">
        <v>0</v>
      </c>
      <c r="H165" s="286"/>
      <c r="I165" s="308" t="s">
        <v>86</v>
      </c>
      <c r="J165" s="284">
        <v>10</v>
      </c>
      <c r="K165" s="309">
        <f t="shared" si="417"/>
        <v>2007</v>
      </c>
      <c r="N165" s="285">
        <v>6400</v>
      </c>
      <c r="P165" s="286">
        <f t="shared" si="418"/>
        <v>6400</v>
      </c>
      <c r="Q165" s="286">
        <f t="shared" si="419"/>
        <v>53.333333333333336</v>
      </c>
      <c r="R165" s="286">
        <f t="shared" si="431"/>
        <v>0</v>
      </c>
      <c r="T165" s="286">
        <f t="shared" si="421"/>
        <v>0</v>
      </c>
      <c r="U165" s="286">
        <v>1</v>
      </c>
      <c r="V165" s="286">
        <f t="shared" si="422"/>
        <v>0</v>
      </c>
      <c r="W165" s="286"/>
      <c r="X165" s="286">
        <f t="shared" si="423"/>
        <v>6400</v>
      </c>
      <c r="Y165" s="286">
        <f t="shared" si="424"/>
        <v>6400</v>
      </c>
      <c r="Z165" s="286">
        <v>1</v>
      </c>
      <c r="AA165" s="286">
        <f t="shared" si="425"/>
        <v>6400</v>
      </c>
      <c r="AB165" s="286">
        <f t="shared" si="426"/>
        <v>6400</v>
      </c>
      <c r="AC165" s="286">
        <f t="shared" si="427"/>
        <v>0</v>
      </c>
      <c r="AD165" s="286">
        <f t="shared" si="428"/>
        <v>1997.6666666666667</v>
      </c>
      <c r="AE165" s="286">
        <f t="shared" si="429"/>
        <v>2018</v>
      </c>
      <c r="AF165" s="286">
        <f t="shared" si="430"/>
        <v>2007.6666666666667</v>
      </c>
      <c r="AG165" s="286">
        <f t="shared" si="410"/>
        <v>2017</v>
      </c>
      <c r="AH165" s="286">
        <f t="shared" si="411"/>
        <v>-8.3333333333333329E-2</v>
      </c>
      <c r="AJ165" s="11">
        <f t="shared" si="412"/>
        <v>0</v>
      </c>
      <c r="AL165" s="11">
        <f t="shared" si="413"/>
        <v>0</v>
      </c>
      <c r="AN165" s="11">
        <f t="shared" si="414"/>
        <v>0</v>
      </c>
      <c r="AP165" s="11">
        <f t="shared" si="415"/>
        <v>0</v>
      </c>
      <c r="AR165" s="11">
        <f t="shared" si="416"/>
        <v>0</v>
      </c>
    </row>
    <row r="166" spans="3:44">
      <c r="C166" s="282">
        <v>119</v>
      </c>
      <c r="D166" s="306" t="s">
        <v>16</v>
      </c>
      <c r="E166" s="282">
        <v>1997</v>
      </c>
      <c r="F166" s="284">
        <v>12</v>
      </c>
      <c r="G166" s="307">
        <v>0</v>
      </c>
      <c r="H166" s="286"/>
      <c r="I166" s="308" t="s">
        <v>86</v>
      </c>
      <c r="J166" s="284">
        <v>10</v>
      </c>
      <c r="K166" s="309">
        <f t="shared" si="417"/>
        <v>2007</v>
      </c>
      <c r="N166" s="285">
        <v>3675</v>
      </c>
      <c r="P166" s="286">
        <f t="shared" si="418"/>
        <v>3675</v>
      </c>
      <c r="Q166" s="286">
        <f t="shared" si="419"/>
        <v>30.625</v>
      </c>
      <c r="R166" s="286">
        <f t="shared" si="431"/>
        <v>0</v>
      </c>
      <c r="T166" s="286">
        <f t="shared" si="421"/>
        <v>0</v>
      </c>
      <c r="U166" s="286">
        <v>1</v>
      </c>
      <c r="V166" s="286">
        <f t="shared" si="422"/>
        <v>0</v>
      </c>
      <c r="W166" s="286"/>
      <c r="X166" s="286">
        <f t="shared" si="423"/>
        <v>3675</v>
      </c>
      <c r="Y166" s="286">
        <f t="shared" si="424"/>
        <v>3675</v>
      </c>
      <c r="Z166" s="286">
        <v>1</v>
      </c>
      <c r="AA166" s="286">
        <f t="shared" si="425"/>
        <v>3675</v>
      </c>
      <c r="AB166" s="286">
        <f t="shared" si="426"/>
        <v>3675</v>
      </c>
      <c r="AC166" s="286">
        <f t="shared" si="427"/>
        <v>0</v>
      </c>
      <c r="AD166" s="286">
        <f t="shared" si="428"/>
        <v>1997.9166666666667</v>
      </c>
      <c r="AE166" s="286">
        <f t="shared" si="429"/>
        <v>2018</v>
      </c>
      <c r="AF166" s="286">
        <f t="shared" si="430"/>
        <v>2007.9166666666667</v>
      </c>
      <c r="AG166" s="286">
        <f t="shared" si="410"/>
        <v>2017</v>
      </c>
      <c r="AH166" s="286">
        <f t="shared" si="411"/>
        <v>-8.3333333333333329E-2</v>
      </c>
      <c r="AJ166" s="11">
        <f t="shared" si="412"/>
        <v>0</v>
      </c>
      <c r="AL166" s="11">
        <f t="shared" si="413"/>
        <v>0</v>
      </c>
      <c r="AN166" s="11">
        <f t="shared" si="414"/>
        <v>0</v>
      </c>
      <c r="AP166" s="11">
        <f t="shared" si="415"/>
        <v>0</v>
      </c>
      <c r="AR166" s="11">
        <f t="shared" si="416"/>
        <v>0</v>
      </c>
    </row>
    <row r="167" spans="3:44">
      <c r="C167" s="282">
        <v>20</v>
      </c>
      <c r="D167" s="306" t="s">
        <v>146</v>
      </c>
      <c r="E167" s="282">
        <v>1998</v>
      </c>
      <c r="F167" s="284">
        <v>3</v>
      </c>
      <c r="G167" s="307">
        <v>0</v>
      </c>
      <c r="H167" s="286"/>
      <c r="I167" s="308" t="s">
        <v>86</v>
      </c>
      <c r="J167" s="284">
        <v>10</v>
      </c>
      <c r="K167" s="309">
        <f t="shared" si="417"/>
        <v>2008</v>
      </c>
      <c r="N167" s="285">
        <v>3400</v>
      </c>
      <c r="P167" s="286">
        <f t="shared" si="418"/>
        <v>3400</v>
      </c>
      <c r="Q167" s="286">
        <f t="shared" si="419"/>
        <v>28.333333333333332</v>
      </c>
      <c r="R167" s="286">
        <f t="shared" si="431"/>
        <v>0</v>
      </c>
      <c r="T167" s="286">
        <f t="shared" si="421"/>
        <v>0</v>
      </c>
      <c r="U167" s="286">
        <v>1</v>
      </c>
      <c r="V167" s="286">
        <f t="shared" si="422"/>
        <v>0</v>
      </c>
      <c r="W167" s="286"/>
      <c r="X167" s="286">
        <f t="shared" si="423"/>
        <v>3400</v>
      </c>
      <c r="Y167" s="286">
        <f t="shared" si="424"/>
        <v>3400</v>
      </c>
      <c r="Z167" s="286">
        <v>1</v>
      </c>
      <c r="AA167" s="286">
        <f t="shared" si="425"/>
        <v>3400</v>
      </c>
      <c r="AB167" s="286">
        <f t="shared" si="426"/>
        <v>3400</v>
      </c>
      <c r="AC167" s="286">
        <f t="shared" si="427"/>
        <v>0</v>
      </c>
      <c r="AD167" s="286">
        <f t="shared" si="428"/>
        <v>1998.1666666666667</v>
      </c>
      <c r="AE167" s="286">
        <f t="shared" si="429"/>
        <v>2018</v>
      </c>
      <c r="AF167" s="286">
        <f t="shared" si="430"/>
        <v>2008.1666666666667</v>
      </c>
      <c r="AG167" s="286">
        <f t="shared" si="410"/>
        <v>2017</v>
      </c>
      <c r="AH167" s="286">
        <f t="shared" si="411"/>
        <v>-8.3333333333333329E-2</v>
      </c>
      <c r="AJ167" s="11">
        <f t="shared" si="412"/>
        <v>0</v>
      </c>
      <c r="AL167" s="11">
        <f t="shared" si="413"/>
        <v>0</v>
      </c>
      <c r="AN167" s="11">
        <f t="shared" si="414"/>
        <v>0</v>
      </c>
      <c r="AP167" s="11">
        <f t="shared" si="415"/>
        <v>0</v>
      </c>
      <c r="AR167" s="11">
        <f t="shared" si="416"/>
        <v>0</v>
      </c>
    </row>
    <row r="168" spans="3:44">
      <c r="C168" s="282">
        <v>10</v>
      </c>
      <c r="D168" s="306" t="s">
        <v>147</v>
      </c>
      <c r="E168" s="282">
        <v>1998</v>
      </c>
      <c r="F168" s="284">
        <v>4</v>
      </c>
      <c r="G168" s="307">
        <v>0</v>
      </c>
      <c r="H168" s="286"/>
      <c r="I168" s="308" t="s">
        <v>86</v>
      </c>
      <c r="J168" s="284">
        <v>10</v>
      </c>
      <c r="K168" s="309">
        <f t="shared" si="417"/>
        <v>2008</v>
      </c>
      <c r="N168" s="285">
        <v>3200</v>
      </c>
      <c r="P168" s="286">
        <f t="shared" si="418"/>
        <v>3200</v>
      </c>
      <c r="Q168" s="286">
        <f t="shared" si="419"/>
        <v>26.666666666666668</v>
      </c>
      <c r="R168" s="286">
        <f t="shared" si="431"/>
        <v>0</v>
      </c>
      <c r="T168" s="286">
        <f t="shared" si="421"/>
        <v>0</v>
      </c>
      <c r="U168" s="286">
        <v>1</v>
      </c>
      <c r="V168" s="286">
        <f t="shared" si="422"/>
        <v>0</v>
      </c>
      <c r="W168" s="286"/>
      <c r="X168" s="286">
        <f t="shared" si="423"/>
        <v>3200</v>
      </c>
      <c r="Y168" s="286">
        <f t="shared" si="424"/>
        <v>3200</v>
      </c>
      <c r="Z168" s="286">
        <v>1</v>
      </c>
      <c r="AA168" s="286">
        <f t="shared" si="425"/>
        <v>3200</v>
      </c>
      <c r="AB168" s="286">
        <f t="shared" si="426"/>
        <v>3200</v>
      </c>
      <c r="AC168" s="286">
        <f t="shared" si="427"/>
        <v>0</v>
      </c>
      <c r="AD168" s="286">
        <f t="shared" si="428"/>
        <v>1998.25</v>
      </c>
      <c r="AE168" s="286">
        <f t="shared" si="429"/>
        <v>2018</v>
      </c>
      <c r="AF168" s="286">
        <f t="shared" si="430"/>
        <v>2008.25</v>
      </c>
      <c r="AG168" s="286">
        <f t="shared" si="410"/>
        <v>2017</v>
      </c>
      <c r="AH168" s="286">
        <f t="shared" si="411"/>
        <v>-8.3333333333333329E-2</v>
      </c>
      <c r="AJ168" s="11">
        <f t="shared" si="412"/>
        <v>0</v>
      </c>
      <c r="AL168" s="11">
        <f t="shared" si="413"/>
        <v>0</v>
      </c>
      <c r="AN168" s="11">
        <f t="shared" si="414"/>
        <v>0</v>
      </c>
      <c r="AP168" s="11">
        <f t="shared" si="415"/>
        <v>0</v>
      </c>
      <c r="AR168" s="11">
        <f t="shared" si="416"/>
        <v>0</v>
      </c>
    </row>
    <row r="169" spans="3:44">
      <c r="C169" s="282">
        <v>20</v>
      </c>
      <c r="D169" s="306" t="s">
        <v>146</v>
      </c>
      <c r="E169" s="282">
        <v>1998</v>
      </c>
      <c r="F169" s="284">
        <v>7</v>
      </c>
      <c r="G169" s="307">
        <v>0</v>
      </c>
      <c r="H169" s="286"/>
      <c r="I169" s="308" t="s">
        <v>86</v>
      </c>
      <c r="J169" s="284">
        <v>10</v>
      </c>
      <c r="K169" s="309">
        <f t="shared" si="417"/>
        <v>2008</v>
      </c>
      <c r="N169" s="285">
        <v>6800</v>
      </c>
      <c r="P169" s="286">
        <f t="shared" si="418"/>
        <v>6800</v>
      </c>
      <c r="Q169" s="286">
        <f t="shared" si="419"/>
        <v>56.666666666666664</v>
      </c>
      <c r="R169" s="286">
        <f t="shared" si="431"/>
        <v>0</v>
      </c>
      <c r="T169" s="286">
        <f t="shared" si="421"/>
        <v>0</v>
      </c>
      <c r="U169" s="286">
        <v>1</v>
      </c>
      <c r="V169" s="286">
        <f t="shared" si="422"/>
        <v>0</v>
      </c>
      <c r="W169" s="286"/>
      <c r="X169" s="286">
        <f t="shared" si="423"/>
        <v>6800</v>
      </c>
      <c r="Y169" s="286">
        <f t="shared" si="424"/>
        <v>6800</v>
      </c>
      <c r="Z169" s="286">
        <v>1</v>
      </c>
      <c r="AA169" s="286">
        <f t="shared" si="425"/>
        <v>6800</v>
      </c>
      <c r="AB169" s="286">
        <f t="shared" si="426"/>
        <v>6800</v>
      </c>
      <c r="AC169" s="286">
        <f t="shared" si="427"/>
        <v>0</v>
      </c>
      <c r="AD169" s="286">
        <f t="shared" si="428"/>
        <v>1998.5</v>
      </c>
      <c r="AE169" s="286">
        <f t="shared" si="429"/>
        <v>2018</v>
      </c>
      <c r="AF169" s="286">
        <f t="shared" si="430"/>
        <v>2008.5</v>
      </c>
      <c r="AG169" s="286">
        <f t="shared" si="410"/>
        <v>2017</v>
      </c>
      <c r="AH169" s="286">
        <f t="shared" si="411"/>
        <v>-8.3333333333333329E-2</v>
      </c>
      <c r="AJ169" s="11">
        <f t="shared" si="412"/>
        <v>0</v>
      </c>
      <c r="AL169" s="11">
        <f t="shared" si="413"/>
        <v>0</v>
      </c>
      <c r="AN169" s="11">
        <f t="shared" si="414"/>
        <v>0</v>
      </c>
      <c r="AP169" s="11">
        <f t="shared" si="415"/>
        <v>0</v>
      </c>
      <c r="AR169" s="11">
        <f t="shared" si="416"/>
        <v>0</v>
      </c>
    </row>
    <row r="170" spans="3:44">
      <c r="C170" s="282">
        <v>20</v>
      </c>
      <c r="D170" s="318" t="s">
        <v>149</v>
      </c>
      <c r="E170" s="282">
        <v>1998</v>
      </c>
      <c r="F170" s="284">
        <v>7</v>
      </c>
      <c r="G170" s="307">
        <v>0</v>
      </c>
      <c r="H170" s="286"/>
      <c r="I170" s="308" t="s">
        <v>86</v>
      </c>
      <c r="J170" s="284">
        <v>10</v>
      </c>
      <c r="K170" s="309">
        <f t="shared" si="417"/>
        <v>2008</v>
      </c>
      <c r="N170" s="285">
        <v>6400</v>
      </c>
      <c r="P170" s="286">
        <f t="shared" si="418"/>
        <v>6400</v>
      </c>
      <c r="Q170" s="286">
        <f t="shared" si="419"/>
        <v>53.333333333333336</v>
      </c>
      <c r="R170" s="286">
        <f t="shared" si="431"/>
        <v>0</v>
      </c>
      <c r="T170" s="286">
        <f t="shared" si="421"/>
        <v>0</v>
      </c>
      <c r="U170" s="286">
        <v>1</v>
      </c>
      <c r="V170" s="286">
        <f t="shared" si="422"/>
        <v>0</v>
      </c>
      <c r="W170" s="286"/>
      <c r="X170" s="286">
        <f t="shared" si="423"/>
        <v>6400</v>
      </c>
      <c r="Y170" s="286">
        <f t="shared" si="424"/>
        <v>6400</v>
      </c>
      <c r="Z170" s="286">
        <v>1</v>
      </c>
      <c r="AA170" s="286">
        <f t="shared" si="425"/>
        <v>6400</v>
      </c>
      <c r="AB170" s="286">
        <f t="shared" si="426"/>
        <v>6400</v>
      </c>
      <c r="AC170" s="286">
        <f t="shared" si="427"/>
        <v>0</v>
      </c>
      <c r="AD170" s="286">
        <f t="shared" si="428"/>
        <v>1998.5</v>
      </c>
      <c r="AE170" s="286">
        <f t="shared" si="429"/>
        <v>2018</v>
      </c>
      <c r="AF170" s="286">
        <f t="shared" si="430"/>
        <v>2008.5</v>
      </c>
      <c r="AG170" s="286">
        <f t="shared" si="410"/>
        <v>2017</v>
      </c>
      <c r="AH170" s="286">
        <f t="shared" si="411"/>
        <v>-8.3333333333333329E-2</v>
      </c>
      <c r="AJ170" s="11">
        <f t="shared" si="412"/>
        <v>0</v>
      </c>
      <c r="AL170" s="11">
        <f t="shared" si="413"/>
        <v>0</v>
      </c>
      <c r="AN170" s="11">
        <f t="shared" si="414"/>
        <v>0</v>
      </c>
      <c r="AP170" s="11">
        <f t="shared" si="415"/>
        <v>0</v>
      </c>
      <c r="AR170" s="11">
        <f t="shared" si="416"/>
        <v>0</v>
      </c>
    </row>
    <row r="171" spans="3:44">
      <c r="C171" s="282">
        <v>143</v>
      </c>
      <c r="D171" s="318" t="s">
        <v>16</v>
      </c>
      <c r="E171" s="282">
        <v>1999</v>
      </c>
      <c r="F171" s="284">
        <v>8</v>
      </c>
      <c r="G171" s="307">
        <v>0</v>
      </c>
      <c r="H171" s="286"/>
      <c r="I171" s="308" t="s">
        <v>86</v>
      </c>
      <c r="J171" s="284">
        <v>10</v>
      </c>
      <c r="K171" s="309">
        <f t="shared" si="417"/>
        <v>2009</v>
      </c>
      <c r="N171" s="285">
        <v>10150</v>
      </c>
      <c r="P171" s="286">
        <f t="shared" si="418"/>
        <v>10150</v>
      </c>
      <c r="Q171" s="286">
        <f t="shared" si="419"/>
        <v>84.583333333333329</v>
      </c>
      <c r="R171" s="286">
        <f t="shared" si="431"/>
        <v>0</v>
      </c>
      <c r="T171" s="286">
        <f t="shared" si="421"/>
        <v>0</v>
      </c>
      <c r="U171" s="286">
        <v>1</v>
      </c>
      <c r="V171" s="286">
        <f t="shared" si="422"/>
        <v>0</v>
      </c>
      <c r="W171" s="286"/>
      <c r="X171" s="286">
        <f t="shared" si="423"/>
        <v>10150</v>
      </c>
      <c r="Y171" s="286">
        <f t="shared" si="424"/>
        <v>10150</v>
      </c>
      <c r="Z171" s="286">
        <v>1</v>
      </c>
      <c r="AA171" s="286">
        <f t="shared" si="425"/>
        <v>10150</v>
      </c>
      <c r="AB171" s="286">
        <f t="shared" si="426"/>
        <v>10150</v>
      </c>
      <c r="AC171" s="286">
        <f t="shared" si="427"/>
        <v>0</v>
      </c>
      <c r="AD171" s="286">
        <f t="shared" si="428"/>
        <v>1999.5833333333333</v>
      </c>
      <c r="AE171" s="286">
        <f t="shared" si="429"/>
        <v>2018</v>
      </c>
      <c r="AF171" s="286">
        <f t="shared" si="430"/>
        <v>2009.5833333333333</v>
      </c>
      <c r="AG171" s="286">
        <f t="shared" si="410"/>
        <v>2017</v>
      </c>
      <c r="AH171" s="286">
        <f t="shared" si="411"/>
        <v>-8.3333333333333329E-2</v>
      </c>
      <c r="AJ171" s="11">
        <f t="shared" si="412"/>
        <v>0</v>
      </c>
      <c r="AL171" s="11">
        <f t="shared" si="413"/>
        <v>0</v>
      </c>
      <c r="AN171" s="11">
        <f t="shared" si="414"/>
        <v>0</v>
      </c>
      <c r="AP171" s="11">
        <f t="shared" si="415"/>
        <v>0</v>
      </c>
      <c r="AR171" s="11">
        <f t="shared" si="416"/>
        <v>0</v>
      </c>
    </row>
    <row r="172" spans="3:44">
      <c r="C172" s="282">
        <v>145</v>
      </c>
      <c r="D172" s="318" t="s">
        <v>16</v>
      </c>
      <c r="E172" s="282">
        <v>1999</v>
      </c>
      <c r="F172" s="284">
        <v>12</v>
      </c>
      <c r="G172" s="307">
        <v>0</v>
      </c>
      <c r="H172" s="286"/>
      <c r="I172" s="308" t="s">
        <v>86</v>
      </c>
      <c r="J172" s="284">
        <v>10</v>
      </c>
      <c r="K172" s="309">
        <f t="shared" si="417"/>
        <v>2009</v>
      </c>
      <c r="N172" s="285">
        <v>9775</v>
      </c>
      <c r="P172" s="286">
        <f t="shared" si="418"/>
        <v>9775</v>
      </c>
      <c r="Q172" s="286">
        <f t="shared" si="419"/>
        <v>81.458333333333329</v>
      </c>
      <c r="R172" s="286">
        <f t="shared" si="431"/>
        <v>0</v>
      </c>
      <c r="T172" s="286">
        <f t="shared" si="421"/>
        <v>0</v>
      </c>
      <c r="U172" s="286">
        <v>1</v>
      </c>
      <c r="V172" s="286">
        <f t="shared" si="422"/>
        <v>0</v>
      </c>
      <c r="W172" s="286"/>
      <c r="X172" s="286">
        <f t="shared" si="423"/>
        <v>9775</v>
      </c>
      <c r="Y172" s="286">
        <f t="shared" si="424"/>
        <v>9775</v>
      </c>
      <c r="Z172" s="286">
        <v>1</v>
      </c>
      <c r="AA172" s="286">
        <f t="shared" si="425"/>
        <v>9775</v>
      </c>
      <c r="AB172" s="286">
        <f t="shared" si="426"/>
        <v>9775</v>
      </c>
      <c r="AC172" s="286">
        <f t="shared" si="427"/>
        <v>0</v>
      </c>
      <c r="AD172" s="286">
        <f t="shared" si="428"/>
        <v>1999.9166666666667</v>
      </c>
      <c r="AE172" s="286">
        <f t="shared" si="429"/>
        <v>2018</v>
      </c>
      <c r="AF172" s="286">
        <f t="shared" si="430"/>
        <v>2009.9166666666667</v>
      </c>
      <c r="AG172" s="286">
        <f t="shared" si="410"/>
        <v>2017</v>
      </c>
      <c r="AH172" s="286">
        <f t="shared" si="411"/>
        <v>-8.3333333333333329E-2</v>
      </c>
      <c r="AJ172" s="11">
        <f t="shared" si="412"/>
        <v>0</v>
      </c>
      <c r="AL172" s="11">
        <f t="shared" si="413"/>
        <v>0</v>
      </c>
      <c r="AN172" s="11">
        <f t="shared" si="414"/>
        <v>0</v>
      </c>
      <c r="AP172" s="11">
        <f t="shared" si="415"/>
        <v>0</v>
      </c>
      <c r="AR172" s="11">
        <f t="shared" si="416"/>
        <v>0</v>
      </c>
    </row>
    <row r="173" spans="3:44">
      <c r="D173" s="318"/>
      <c r="G173" s="307"/>
      <c r="H173" s="286"/>
      <c r="I173" s="308"/>
      <c r="K173" s="309"/>
      <c r="P173" s="286"/>
      <c r="Q173" s="286"/>
      <c r="R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J173" s="11">
        <f t="shared" si="412"/>
        <v>0</v>
      </c>
      <c r="AL173" s="11">
        <f t="shared" si="413"/>
        <v>0</v>
      </c>
      <c r="AN173" s="11">
        <f t="shared" si="414"/>
        <v>0</v>
      </c>
      <c r="AP173" s="11">
        <f t="shared" si="415"/>
        <v>0</v>
      </c>
      <c r="AR173" s="11">
        <f t="shared" si="416"/>
        <v>0</v>
      </c>
    </row>
    <row r="174" spans="3:44">
      <c r="C174" s="282">
        <v>142</v>
      </c>
      <c r="D174" s="318" t="s">
        <v>16</v>
      </c>
      <c r="E174" s="282">
        <v>2000</v>
      </c>
      <c r="F174" s="284">
        <v>1</v>
      </c>
      <c r="G174" s="307">
        <v>0</v>
      </c>
      <c r="H174" s="286"/>
      <c r="I174" s="308" t="s">
        <v>86</v>
      </c>
      <c r="J174" s="284">
        <v>10</v>
      </c>
      <c r="K174" s="309">
        <f>E174+J174</f>
        <v>2010</v>
      </c>
      <c r="N174" s="285">
        <v>25912</v>
      </c>
      <c r="P174" s="286">
        <f>N174-N174*G174</f>
        <v>25912</v>
      </c>
      <c r="Q174" s="286">
        <f>P174/J174/12</f>
        <v>215.93333333333331</v>
      </c>
      <c r="R174" s="286">
        <f>IF(O174&gt;0,0,IF(OR(AD174&gt;AE174,AF174&lt;AG174),0,IF(AND(AF174&gt;=AG174,AF174&lt;=AE174),Q174*((AF174-AG174)*12),IF(AND(AG174&lt;=AD174,AE174&gt;=AD174),((AE174-AD174)*12)*Q174,IF(AF174&gt;AE174,12*Q174,0)))))</f>
        <v>0</v>
      </c>
      <c r="T174" s="286">
        <f>IF(S174&gt;0,S174,R174)</f>
        <v>0</v>
      </c>
      <c r="U174" s="286">
        <v>1</v>
      </c>
      <c r="V174" s="286">
        <f>U174*SUM(R174:S174)</f>
        <v>0</v>
      </c>
      <c r="W174" s="286"/>
      <c r="X174" s="286">
        <f t="shared" ref="X174:X181" si="432">IF(AD174&gt;AE174,0,IF(AF174&lt;AG174,P174,IF(AND(AF174&gt;=AG174,AF174&lt;=AE174),(P174-T174),IF(AND(AG174&lt;=AD174,AE174&gt;=AD174),0,IF(AF174&gt;AE174,((AG174-AD174)*12)*Q174,0)))))</f>
        <v>25912</v>
      </c>
      <c r="Y174" s="286">
        <f t="shared" ref="Y174:Y181" si="433">X174*U174</f>
        <v>25912</v>
      </c>
      <c r="Z174" s="286">
        <v>1</v>
      </c>
      <c r="AA174" s="286">
        <f>Y174*Z174</f>
        <v>25912</v>
      </c>
      <c r="AB174" s="286">
        <f>IF(O174&gt;0,0,AA174+V174*Z174)*Z174</f>
        <v>25912</v>
      </c>
      <c r="AC174" s="286">
        <f>IF(O174&gt;0,(N174-AA174)/2,IF(AD174&gt;=AG174,(((N174*U174)*Z174)-AB174)/2,((((N174*U174)*Z174)-AA174)+(((N174*U174)*Z174)-AB174))/2))</f>
        <v>0</v>
      </c>
      <c r="AD174" s="286">
        <f>$E174+(($F174-1)/12)</f>
        <v>2000</v>
      </c>
      <c r="AE174" s="286">
        <f>($P$5+1)-($P$2/12)</f>
        <v>2018</v>
      </c>
      <c r="AF174" s="286">
        <f>$K174+(($F174-1)/12)</f>
        <v>2010</v>
      </c>
      <c r="AG174" s="286">
        <f>$P$4+($P$3/12)</f>
        <v>2017</v>
      </c>
      <c r="AH174" s="286">
        <f>$L174+(($M174-1)/12)</f>
        <v>-8.3333333333333329E-2</v>
      </c>
      <c r="AJ174" s="11">
        <f t="shared" si="412"/>
        <v>0</v>
      </c>
      <c r="AL174" s="11">
        <f t="shared" si="413"/>
        <v>0</v>
      </c>
      <c r="AN174" s="11">
        <f t="shared" si="414"/>
        <v>0</v>
      </c>
      <c r="AP174" s="11">
        <f t="shared" si="415"/>
        <v>0</v>
      </c>
      <c r="AR174" s="11">
        <f t="shared" si="416"/>
        <v>0</v>
      </c>
    </row>
    <row r="175" spans="3:44">
      <c r="D175" s="318" t="s">
        <v>16</v>
      </c>
      <c r="E175" s="282">
        <v>2000</v>
      </c>
      <c r="F175" s="284">
        <v>1</v>
      </c>
      <c r="G175" s="307">
        <v>0</v>
      </c>
      <c r="H175" s="286"/>
      <c r="I175" s="308" t="s">
        <v>86</v>
      </c>
      <c r="J175" s="284">
        <v>10</v>
      </c>
      <c r="K175" s="309">
        <f>E175+J175</f>
        <v>2010</v>
      </c>
      <c r="N175" s="285">
        <v>2529</v>
      </c>
      <c r="P175" s="286">
        <f>N175-N175*G175</f>
        <v>2529</v>
      </c>
      <c r="Q175" s="286">
        <f>P175/J175/12</f>
        <v>21.074999999999999</v>
      </c>
      <c r="R175" s="286">
        <f>IF(O175&gt;0,0,IF(OR(AD175&gt;AE175,AF175&lt;AG175),0,IF(AND(AF175&gt;=AG175,AF175&lt;=AE175),Q175*((AF175-AG175)*12),IF(AND(AG175&lt;=AD175,AE175&gt;=AD175),((AE175-AD175)*12)*Q175,IF(AF175&gt;AE175,12*Q175,0)))))</f>
        <v>0</v>
      </c>
      <c r="T175" s="286">
        <f>IF(S175&gt;0,S175,R175)</f>
        <v>0</v>
      </c>
      <c r="U175" s="286">
        <v>1</v>
      </c>
      <c r="V175" s="286">
        <f>U175*SUM(R175:S175)</f>
        <v>0</v>
      </c>
      <c r="W175" s="286"/>
      <c r="X175" s="286">
        <f t="shared" si="432"/>
        <v>2529</v>
      </c>
      <c r="Y175" s="286">
        <f t="shared" si="433"/>
        <v>2529</v>
      </c>
      <c r="Z175" s="286">
        <v>1</v>
      </c>
      <c r="AA175" s="286">
        <f>Y175*Z175</f>
        <v>2529</v>
      </c>
      <c r="AB175" s="286">
        <f>IF(O175&gt;0,0,AA175+V175*Z175)*Z175</f>
        <v>2529</v>
      </c>
      <c r="AC175" s="286">
        <f>IF(O175&gt;0,(N175-AA175)/2,IF(AD175&gt;=AG175,(((N175*U175)*Z175)-AB175)/2,((((N175*U175)*Z175)-AA175)+(((N175*U175)*Z175)-AB175))/2))</f>
        <v>0</v>
      </c>
      <c r="AD175" s="286">
        <f>$E175+(($F175-1)/12)</f>
        <v>2000</v>
      </c>
      <c r="AE175" s="286">
        <f>($P$5+1)-($P$2/12)</f>
        <v>2018</v>
      </c>
      <c r="AF175" s="286">
        <f>$K175+(($F175-1)/12)</f>
        <v>2010</v>
      </c>
      <c r="AG175" s="286">
        <f>$P$4+($P$3/12)</f>
        <v>2017</v>
      </c>
      <c r="AH175" s="286">
        <f>$L175+(($M175-1)/12)</f>
        <v>-8.3333333333333329E-2</v>
      </c>
      <c r="AJ175" s="11">
        <f t="shared" si="412"/>
        <v>0</v>
      </c>
      <c r="AL175" s="11">
        <f t="shared" si="413"/>
        <v>0</v>
      </c>
      <c r="AN175" s="11">
        <f t="shared" si="414"/>
        <v>0</v>
      </c>
      <c r="AP175" s="11">
        <f t="shared" si="415"/>
        <v>0</v>
      </c>
      <c r="AR175" s="11">
        <f t="shared" si="416"/>
        <v>0</v>
      </c>
    </row>
    <row r="176" spans="3:44">
      <c r="D176" s="318" t="s">
        <v>16</v>
      </c>
      <c r="E176" s="282">
        <v>2000</v>
      </c>
      <c r="F176" s="284">
        <v>6</v>
      </c>
      <c r="G176" s="307">
        <v>0</v>
      </c>
      <c r="H176" s="286"/>
      <c r="I176" s="308" t="s">
        <v>86</v>
      </c>
      <c r="J176" s="284">
        <v>10</v>
      </c>
      <c r="K176" s="309">
        <f>E176+J176</f>
        <v>2010</v>
      </c>
      <c r="N176" s="285">
        <v>10080</v>
      </c>
      <c r="P176" s="286">
        <f>N176-N176*G176</f>
        <v>10080</v>
      </c>
      <c r="Q176" s="286">
        <f>P176/J176/12</f>
        <v>84</v>
      </c>
      <c r="R176" s="286">
        <f>IF(O176&gt;0,0,IF(OR(AD176&gt;AE176,AF176&lt;AG176),0,IF(AND(AF176&gt;=AG176,AF176&lt;=AE176),Q176*((AF176-AG176)*12),IF(AND(AG176&lt;=AD176,AE176&gt;=AD176),((AE176-AD176)*12)*Q176,IF(AF176&gt;AE176,12*Q176,0)))))</f>
        <v>0</v>
      </c>
      <c r="T176" s="286">
        <f>IF(S176&gt;0,S176,R176)</f>
        <v>0</v>
      </c>
      <c r="U176" s="286">
        <v>1</v>
      </c>
      <c r="V176" s="286">
        <f>U176*SUM(R176:S176)</f>
        <v>0</v>
      </c>
      <c r="W176" s="286"/>
      <c r="X176" s="286">
        <f t="shared" si="432"/>
        <v>10080</v>
      </c>
      <c r="Y176" s="286">
        <f t="shared" si="433"/>
        <v>10080</v>
      </c>
      <c r="Z176" s="286">
        <v>1</v>
      </c>
      <c r="AA176" s="286">
        <f>Y176*Z176</f>
        <v>10080</v>
      </c>
      <c r="AB176" s="286">
        <f>IF(O176&gt;0,0,AA176+V176*Z176)*Z176</f>
        <v>10080</v>
      </c>
      <c r="AC176" s="286">
        <f>IF(O176&gt;0,(N176-AA176)/2,IF(AD176&gt;=AG176,(((N176*U176)*Z176)-AB176)/2,((((N176*U176)*Z176)-AA176)+(((N176*U176)*Z176)-AB176))/2))</f>
        <v>0</v>
      </c>
      <c r="AD176" s="286">
        <f>$E176+(($F176-1)/12)</f>
        <v>2000.4166666666667</v>
      </c>
      <c r="AE176" s="286">
        <f>($P$5+1)-($P$2/12)</f>
        <v>2018</v>
      </c>
      <c r="AF176" s="286">
        <f>$K176+(($F176-1)/12)</f>
        <v>2010.4166666666667</v>
      </c>
      <c r="AG176" s="286">
        <f>$P$4+($P$3/12)</f>
        <v>2017</v>
      </c>
      <c r="AH176" s="286">
        <f>$L176+(($M176-1)/12)</f>
        <v>-8.3333333333333329E-2</v>
      </c>
      <c r="AJ176" s="11">
        <f t="shared" si="412"/>
        <v>0</v>
      </c>
      <c r="AL176" s="11">
        <f t="shared" si="413"/>
        <v>0</v>
      </c>
      <c r="AN176" s="11">
        <f t="shared" si="414"/>
        <v>0</v>
      </c>
      <c r="AP176" s="11">
        <f t="shared" si="415"/>
        <v>0</v>
      </c>
      <c r="AR176" s="11">
        <f t="shared" si="416"/>
        <v>0</v>
      </c>
    </row>
    <row r="177" spans="3:44">
      <c r="D177" s="318" t="s">
        <v>16</v>
      </c>
      <c r="E177" s="282">
        <v>2000</v>
      </c>
      <c r="F177" s="284">
        <v>9</v>
      </c>
      <c r="G177" s="307">
        <v>0</v>
      </c>
      <c r="H177" s="286"/>
      <c r="I177" s="308" t="s">
        <v>86</v>
      </c>
      <c r="J177" s="284">
        <v>10</v>
      </c>
      <c r="K177" s="309">
        <f>E177+J177</f>
        <v>2010</v>
      </c>
      <c r="N177" s="285">
        <v>25912</v>
      </c>
      <c r="P177" s="286">
        <f>N177-N177*G177</f>
        <v>25912</v>
      </c>
      <c r="Q177" s="286">
        <f>P177/J177/12</f>
        <v>215.93333333333331</v>
      </c>
      <c r="R177" s="286">
        <f>IF(O177&gt;0,0,IF(OR(AD177&gt;AE177,AF177&lt;AG177),0,IF(AND(AF177&gt;=AG177,AF177&lt;=AE177),Q177*((AF177-AG177)*12),IF(AND(AG177&lt;=AD177,AE177&gt;=AD177),((AE177-AD177)*12)*Q177,IF(AF177&gt;AE177,12*Q177,0)))))</f>
        <v>0</v>
      </c>
      <c r="T177" s="286">
        <f>IF(S177&gt;0,S177,R177)</f>
        <v>0</v>
      </c>
      <c r="U177" s="286">
        <v>1</v>
      </c>
      <c r="V177" s="286">
        <f>U177*SUM(R177:S177)</f>
        <v>0</v>
      </c>
      <c r="W177" s="286"/>
      <c r="X177" s="286">
        <f t="shared" si="432"/>
        <v>25912</v>
      </c>
      <c r="Y177" s="286">
        <f t="shared" si="433"/>
        <v>25912</v>
      </c>
      <c r="Z177" s="286">
        <v>1</v>
      </c>
      <c r="AA177" s="286">
        <f>Y177*Z177</f>
        <v>25912</v>
      </c>
      <c r="AB177" s="286">
        <f>IF(O177&gt;0,0,AA177+V177*Z177)*Z177</f>
        <v>25912</v>
      </c>
      <c r="AC177" s="286">
        <f>IF(O177&gt;0,(N177-AA177)/2,IF(AD177&gt;=AG177,(((N177*U177)*Z177)-AB177)/2,((((N177*U177)*Z177)-AA177)+(((N177*U177)*Z177)-AB177))/2))</f>
        <v>0</v>
      </c>
      <c r="AD177" s="286">
        <f>$E177+(($F177-1)/12)</f>
        <v>2000.6666666666667</v>
      </c>
      <c r="AE177" s="286">
        <f>($P$5+1)-($P$2/12)</f>
        <v>2018</v>
      </c>
      <c r="AF177" s="286">
        <f>$K177+(($F177-1)/12)</f>
        <v>2010.6666666666667</v>
      </c>
      <c r="AG177" s="286">
        <f>$P$4+($P$3/12)</f>
        <v>2017</v>
      </c>
      <c r="AH177" s="286">
        <f>$L177+(($M177-1)/12)</f>
        <v>-8.3333333333333329E-2</v>
      </c>
      <c r="AJ177" s="11">
        <f t="shared" si="412"/>
        <v>0</v>
      </c>
      <c r="AL177" s="11">
        <f t="shared" si="413"/>
        <v>0</v>
      </c>
      <c r="AN177" s="11">
        <f t="shared" si="414"/>
        <v>0</v>
      </c>
      <c r="AP177" s="11">
        <f t="shared" si="415"/>
        <v>0</v>
      </c>
      <c r="AR177" s="11">
        <f t="shared" si="416"/>
        <v>0</v>
      </c>
    </row>
    <row r="178" spans="3:44">
      <c r="D178" s="318" t="s">
        <v>16</v>
      </c>
      <c r="E178" s="282">
        <v>2000</v>
      </c>
      <c r="F178" s="284">
        <v>10</v>
      </c>
      <c r="G178" s="307">
        <v>0</v>
      </c>
      <c r="H178" s="286"/>
      <c r="I178" s="308" t="s">
        <v>86</v>
      </c>
      <c r="J178" s="284">
        <v>10</v>
      </c>
      <c r="K178" s="309">
        <f>E178+J178</f>
        <v>2010</v>
      </c>
      <c r="N178" s="285">
        <v>25912</v>
      </c>
      <c r="P178" s="286">
        <f>N178-N178*G178</f>
        <v>25912</v>
      </c>
      <c r="Q178" s="286">
        <f>P178/J178/12</f>
        <v>215.93333333333331</v>
      </c>
      <c r="R178" s="286">
        <f>IF(O178&gt;0,0,IF(OR(AD178&gt;AE178,AF178&lt;AG178),0,IF(AND(AF178&gt;=AG178,AF178&lt;=AE178),Q178*((AF178-AG178)*12),IF(AND(AG178&lt;=AD178,AE178&gt;=AD178),((AE178-AD178)*12)*Q178,IF(AF178&gt;AE178,12*Q178,0)))))</f>
        <v>0</v>
      </c>
      <c r="T178" s="286">
        <f>IF(S178&gt;0,S178,R178)</f>
        <v>0</v>
      </c>
      <c r="U178" s="286">
        <v>1</v>
      </c>
      <c r="V178" s="286">
        <f>U178*SUM(R178:S178)</f>
        <v>0</v>
      </c>
      <c r="W178" s="286"/>
      <c r="X178" s="286">
        <f t="shared" si="432"/>
        <v>25912</v>
      </c>
      <c r="Y178" s="286">
        <f t="shared" si="433"/>
        <v>25912</v>
      </c>
      <c r="Z178" s="286">
        <v>1</v>
      </c>
      <c r="AA178" s="286">
        <f>Y178*Z178</f>
        <v>25912</v>
      </c>
      <c r="AB178" s="286">
        <f>IF(O178&gt;0,0,AA178+V178*Z178)*Z178</f>
        <v>25912</v>
      </c>
      <c r="AC178" s="286">
        <f>IF(O178&gt;0,(N178-AA178)/2,IF(AD178&gt;=AG178,(((N178*U178)*Z178)-AB178)/2,((((N178*U178)*Z178)-AA178)+(((N178*U178)*Z178)-AB178))/2))</f>
        <v>0</v>
      </c>
      <c r="AD178" s="286">
        <f>$E178+(($F178-1)/12)</f>
        <v>2000.75</v>
      </c>
      <c r="AE178" s="286">
        <f>($P$5+1)-($P$2/12)</f>
        <v>2018</v>
      </c>
      <c r="AF178" s="286">
        <f>$K178+(($F178-1)/12)</f>
        <v>2010.75</v>
      </c>
      <c r="AG178" s="286">
        <f>$P$4+($P$3/12)</f>
        <v>2017</v>
      </c>
      <c r="AH178" s="286">
        <f>$L178+(($M178-1)/12)</f>
        <v>-8.3333333333333329E-2</v>
      </c>
      <c r="AJ178" s="11">
        <f t="shared" si="412"/>
        <v>0</v>
      </c>
      <c r="AL178" s="11">
        <f t="shared" si="413"/>
        <v>0</v>
      </c>
      <c r="AN178" s="11">
        <f t="shared" si="414"/>
        <v>0</v>
      </c>
      <c r="AP178" s="11">
        <f t="shared" si="415"/>
        <v>0</v>
      </c>
      <c r="AR178" s="11">
        <f t="shared" si="416"/>
        <v>0</v>
      </c>
    </row>
    <row r="179" spans="3:44">
      <c r="D179" s="318"/>
      <c r="G179" s="307"/>
      <c r="H179" s="286"/>
      <c r="I179" s="308"/>
      <c r="K179" s="309"/>
      <c r="P179" s="286"/>
      <c r="Q179" s="286"/>
      <c r="R179" s="286"/>
      <c r="T179" s="286"/>
      <c r="U179" s="286"/>
      <c r="V179" s="286"/>
      <c r="W179" s="286"/>
      <c r="X179" s="286">
        <f t="shared" si="432"/>
        <v>0</v>
      </c>
      <c r="Y179" s="286">
        <f t="shared" si="433"/>
        <v>0</v>
      </c>
      <c r="Z179" s="286">
        <v>1</v>
      </c>
      <c r="AA179" s="286"/>
      <c r="AB179" s="286"/>
      <c r="AC179" s="286"/>
      <c r="AD179" s="286"/>
      <c r="AE179" s="286"/>
      <c r="AF179" s="286"/>
      <c r="AG179" s="286"/>
      <c r="AH179" s="286"/>
      <c r="AJ179" s="11">
        <f t="shared" si="412"/>
        <v>0</v>
      </c>
      <c r="AL179" s="11">
        <f t="shared" si="413"/>
        <v>0</v>
      </c>
      <c r="AN179" s="11">
        <f t="shared" si="414"/>
        <v>0</v>
      </c>
      <c r="AP179" s="11">
        <f t="shared" si="415"/>
        <v>0</v>
      </c>
      <c r="AR179" s="11">
        <f t="shared" si="416"/>
        <v>0</v>
      </c>
    </row>
    <row r="180" spans="3:44">
      <c r="C180" s="282">
        <v>15</v>
      </c>
      <c r="D180" s="306" t="s">
        <v>151</v>
      </c>
      <c r="E180" s="282">
        <v>2002</v>
      </c>
      <c r="F180" s="284">
        <v>12</v>
      </c>
      <c r="G180" s="307">
        <v>0</v>
      </c>
      <c r="H180" s="286"/>
      <c r="I180" s="308" t="s">
        <v>86</v>
      </c>
      <c r="J180" s="284">
        <v>5</v>
      </c>
      <c r="K180" s="309">
        <f>E180+J180</f>
        <v>2007</v>
      </c>
      <c r="N180" s="285">
        <v>849</v>
      </c>
      <c r="P180" s="286">
        <f t="shared" ref="P180:P191" si="434">N180-N180*G180</f>
        <v>849</v>
      </c>
      <c r="Q180" s="286">
        <f>P180/J180/12</f>
        <v>14.15</v>
      </c>
      <c r="R180" s="286">
        <f>IF(O180&gt;0,0,IF(OR(AD180&gt;AE180,AF180&lt;AG180),0,IF(AND(AF180&gt;=AG180,AF180&lt;=AE180),Q180*((AF180-AG180)*12),IF(AND(AG180&lt;=AD180,AE180&gt;=AD180),((AE180-AD180)*12)*Q180,IF(AF180&gt;AE180,12*Q180,0)))))</f>
        <v>0</v>
      </c>
      <c r="T180" s="286">
        <f>IF(S180&gt;0,S180,R180)</f>
        <v>0</v>
      </c>
      <c r="U180" s="286">
        <v>1</v>
      </c>
      <c r="V180" s="286">
        <f>U180*SUM(R180:S180)</f>
        <v>0</v>
      </c>
      <c r="W180" s="286"/>
      <c r="X180" s="286">
        <f t="shared" si="432"/>
        <v>849</v>
      </c>
      <c r="Y180" s="286">
        <f t="shared" si="433"/>
        <v>849</v>
      </c>
      <c r="Z180" s="286">
        <v>1</v>
      </c>
      <c r="AA180" s="286">
        <f>Y180*Z180</f>
        <v>849</v>
      </c>
      <c r="AB180" s="286">
        <f>IF(O180&gt;0,0,AA180+V180*Z180)*Z180</f>
        <v>849</v>
      </c>
      <c r="AC180" s="286">
        <f>IF(O180&gt;0,(N180-AA180)/2,IF(AD180&gt;=AG180,(((N180*U180)*Z180)-AB180)/2,((((N180*U180)*Z180)-AA180)+(((N180*U180)*Z180)-AB180))/2))</f>
        <v>0</v>
      </c>
      <c r="AD180" s="286">
        <f>$E180+(($F180-1)/12)</f>
        <v>2002.9166666666667</v>
      </c>
      <c r="AE180" s="286">
        <f>($P$5+1)-($P$2/12)</f>
        <v>2018</v>
      </c>
      <c r="AF180" s="286">
        <f t="shared" ref="AF180:AF191" si="435">$K180+(($F180-1)/12)</f>
        <v>2007.9166666666667</v>
      </c>
      <c r="AG180" s="286">
        <f t="shared" ref="AG180:AG521" si="436">$P$4+($P$3/12)</f>
        <v>2017</v>
      </c>
      <c r="AH180" s="286">
        <f t="shared" ref="AH180:AH191" si="437">$L180+(($M180-1)/12)</f>
        <v>-8.3333333333333329E-2</v>
      </c>
      <c r="AJ180" s="11">
        <f t="shared" si="412"/>
        <v>0</v>
      </c>
      <c r="AL180" s="11">
        <f t="shared" si="413"/>
        <v>0</v>
      </c>
      <c r="AN180" s="11">
        <f t="shared" si="414"/>
        <v>0</v>
      </c>
      <c r="AP180" s="11">
        <f t="shared" si="415"/>
        <v>0</v>
      </c>
      <c r="AR180" s="11">
        <f t="shared" si="416"/>
        <v>0</v>
      </c>
    </row>
    <row r="181" spans="3:44">
      <c r="D181" s="306" t="s">
        <v>152</v>
      </c>
      <c r="E181" s="282">
        <v>2002</v>
      </c>
      <c r="F181" s="284">
        <v>12</v>
      </c>
      <c r="G181" s="307">
        <v>0</v>
      </c>
      <c r="H181" s="286"/>
      <c r="I181" s="308" t="s">
        <v>86</v>
      </c>
      <c r="J181" s="284">
        <v>5</v>
      </c>
      <c r="K181" s="309">
        <f>E181+J181</f>
        <v>2007</v>
      </c>
      <c r="N181" s="285">
        <f>1019+212+1420+3134</f>
        <v>5785</v>
      </c>
      <c r="P181" s="286">
        <f t="shared" si="434"/>
        <v>5785</v>
      </c>
      <c r="Q181" s="286">
        <f>P181/J181/12</f>
        <v>96.416666666666671</v>
      </c>
      <c r="R181" s="286">
        <f>IF(O181&gt;0,0,IF(OR(AD181&gt;AE181,AF181&lt;AG181),0,IF(AND(AF181&gt;=AG181,AF181&lt;=AE181),Q181*((AF181-AG181)*12),IF(AND(AG181&lt;=AD181,AE181&gt;=AD181),((AE181-AD181)*12)*Q181,IF(AF181&gt;AE181,12*Q181,0)))))</f>
        <v>0</v>
      </c>
      <c r="T181" s="286">
        <f>IF(S181&gt;0,S181,R181)</f>
        <v>0</v>
      </c>
      <c r="U181" s="286">
        <v>1</v>
      </c>
      <c r="V181" s="286">
        <f>U181*SUM(R181:S181)</f>
        <v>0</v>
      </c>
      <c r="W181" s="286"/>
      <c r="X181" s="286">
        <f t="shared" si="432"/>
        <v>5785</v>
      </c>
      <c r="Y181" s="286">
        <f t="shared" si="433"/>
        <v>5785</v>
      </c>
      <c r="Z181" s="286">
        <v>1</v>
      </c>
      <c r="AA181" s="286">
        <f>Y181*Z181</f>
        <v>5785</v>
      </c>
      <c r="AB181" s="286">
        <f>IF(O181&gt;0,0,AA181+V181*Z181)*Z181</f>
        <v>5785</v>
      </c>
      <c r="AC181" s="286">
        <f>IF(O181&gt;0,(N181-AA181)/2,IF(AD181&gt;=AG181,(((N181*U181)*Z181)-AB181)/2,((((N181*U181)*Z181)-AA181)+(((N181*U181)*Z181)-AB181))/2))</f>
        <v>0</v>
      </c>
      <c r="AD181" s="286">
        <f>$E181+(($F181-1)/12)</f>
        <v>2002.9166666666667</v>
      </c>
      <c r="AE181" s="286">
        <f>($P$5+1)-($P$2/12)</f>
        <v>2018</v>
      </c>
      <c r="AF181" s="286">
        <f t="shared" si="435"/>
        <v>2007.9166666666667</v>
      </c>
      <c r="AG181" s="286">
        <f t="shared" si="436"/>
        <v>2017</v>
      </c>
      <c r="AH181" s="286">
        <f t="shared" si="437"/>
        <v>-8.3333333333333329E-2</v>
      </c>
      <c r="AJ181" s="11">
        <f t="shared" si="412"/>
        <v>0</v>
      </c>
      <c r="AL181" s="11">
        <f t="shared" si="413"/>
        <v>0</v>
      </c>
      <c r="AN181" s="11">
        <f t="shared" si="414"/>
        <v>0</v>
      </c>
      <c r="AP181" s="11">
        <f t="shared" si="415"/>
        <v>0</v>
      </c>
      <c r="AR181" s="11">
        <f t="shared" si="416"/>
        <v>0</v>
      </c>
    </row>
    <row r="182" spans="3:44">
      <c r="D182" s="318"/>
      <c r="G182" s="307"/>
      <c r="H182" s="286"/>
      <c r="I182" s="308"/>
      <c r="K182" s="309"/>
      <c r="P182" s="286">
        <f t="shared" si="434"/>
        <v>0</v>
      </c>
      <c r="Q182" s="286"/>
      <c r="R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>
        <f t="shared" si="435"/>
        <v>-8.3333333333333329E-2</v>
      </c>
      <c r="AG182" s="286">
        <f t="shared" si="436"/>
        <v>2017</v>
      </c>
      <c r="AH182" s="286">
        <f t="shared" si="437"/>
        <v>-8.3333333333333329E-2</v>
      </c>
      <c r="AJ182" s="11">
        <f t="shared" si="412"/>
        <v>0</v>
      </c>
      <c r="AL182" s="11">
        <f t="shared" si="413"/>
        <v>0</v>
      </c>
      <c r="AN182" s="11">
        <f t="shared" si="414"/>
        <v>0</v>
      </c>
      <c r="AP182" s="11">
        <f t="shared" si="415"/>
        <v>0</v>
      </c>
      <c r="AR182" s="11">
        <f t="shared" si="416"/>
        <v>0</v>
      </c>
    </row>
    <row r="183" spans="3:44">
      <c r="D183" s="306" t="s">
        <v>153</v>
      </c>
      <c r="E183" s="282">
        <v>2003</v>
      </c>
      <c r="F183" s="284">
        <v>12</v>
      </c>
      <c r="G183" s="307">
        <v>0</v>
      </c>
      <c r="H183" s="286"/>
      <c r="I183" s="308" t="s">
        <v>86</v>
      </c>
      <c r="J183" s="284">
        <v>10</v>
      </c>
      <c r="K183" s="309">
        <f>E183+J183</f>
        <v>2013</v>
      </c>
      <c r="N183" s="285">
        <v>649</v>
      </c>
      <c r="P183" s="286">
        <f t="shared" si="434"/>
        <v>649</v>
      </c>
      <c r="Q183" s="286">
        <f>P183/J183/12</f>
        <v>5.4083333333333341</v>
      </c>
      <c r="R183" s="286">
        <f>IF(O183&gt;0,0,IF(OR(AD183&gt;AE183,AF183&lt;AG183),0,IF(AND(AF183&gt;=AG183,AF183&lt;=AE183),Q183*((AF183-AG183)*12),IF(AND(AG183&lt;=AD183,AE183&gt;=AD183),((AE183-AD183)*12)*Q183,IF(AF183&gt;AE183,12*Q183,0)))))</f>
        <v>0</v>
      </c>
      <c r="T183" s="286">
        <f>IF(S183&gt;0,S183,R183)</f>
        <v>0</v>
      </c>
      <c r="U183" s="286">
        <v>1</v>
      </c>
      <c r="V183" s="286">
        <f>U183*SUM(R183:S183)</f>
        <v>0</v>
      </c>
      <c r="W183" s="286"/>
      <c r="X183" s="286">
        <f>IF(AD183&gt;AE183,0,IF(AF183&lt;AG183,P183,IF(AND(AF183&gt;=AG183,AF183&lt;=AE183),(P183-T183),IF(AND(AG183&lt;=AD183,AE183&gt;=AD183),0,IF(AF183&gt;AE183,((AG183-AD183)*12)*Q183,0)))))</f>
        <v>649</v>
      </c>
      <c r="Y183" s="286">
        <f>X183*U183</f>
        <v>649</v>
      </c>
      <c r="Z183" s="286">
        <v>1</v>
      </c>
      <c r="AA183" s="286">
        <f>Y183*Z183</f>
        <v>649</v>
      </c>
      <c r="AB183" s="286">
        <f>IF(O183&gt;0,0,AA183+V183*Z183)*Z183</f>
        <v>649</v>
      </c>
      <c r="AC183" s="286">
        <f>IF(O183&gt;0,(N183-AA183)/2,IF(AD183&gt;=AG183,(((N183*U183)*Z183)-AB183)/2,((((N183*U183)*Z183)-AA183)+(((N183*U183)*Z183)-AB183))/2))</f>
        <v>0</v>
      </c>
      <c r="AD183" s="286">
        <f>$E183+(($F183-1)/12)</f>
        <v>2003.9166666666667</v>
      </c>
      <c r="AE183" s="286">
        <f>($P$5+1)-($P$2/12)</f>
        <v>2018</v>
      </c>
      <c r="AF183" s="286">
        <f t="shared" si="435"/>
        <v>2013.9166666666667</v>
      </c>
      <c r="AG183" s="286">
        <f t="shared" si="436"/>
        <v>2017</v>
      </c>
      <c r="AH183" s="286">
        <f t="shared" si="437"/>
        <v>-8.3333333333333329E-2</v>
      </c>
      <c r="AJ183" s="11">
        <f t="shared" si="412"/>
        <v>0</v>
      </c>
      <c r="AL183" s="11">
        <f t="shared" si="413"/>
        <v>0</v>
      </c>
      <c r="AN183" s="11">
        <f t="shared" si="414"/>
        <v>0</v>
      </c>
      <c r="AP183" s="11">
        <f t="shared" si="415"/>
        <v>0</v>
      </c>
      <c r="AR183" s="11">
        <f t="shared" si="416"/>
        <v>0</v>
      </c>
    </row>
    <row r="184" spans="3:44">
      <c r="C184" s="282">
        <v>30</v>
      </c>
      <c r="D184" s="306" t="s">
        <v>154</v>
      </c>
      <c r="E184" s="282">
        <v>2003</v>
      </c>
      <c r="F184" s="284">
        <v>12</v>
      </c>
      <c r="G184" s="307">
        <v>0</v>
      </c>
      <c r="H184" s="286"/>
      <c r="I184" s="308" t="s">
        <v>86</v>
      </c>
      <c r="J184" s="284">
        <v>10</v>
      </c>
      <c r="K184" s="309">
        <f>E184+J184</f>
        <v>2013</v>
      </c>
      <c r="N184" s="285">
        <v>10240</v>
      </c>
      <c r="P184" s="286">
        <f t="shared" si="434"/>
        <v>10240</v>
      </c>
      <c r="Q184" s="286">
        <f>P184/J184/12</f>
        <v>85.333333333333329</v>
      </c>
      <c r="R184" s="286">
        <f>IF(O184&gt;0,0,IF(OR(AD184&gt;AE184,AF184&lt;AG184),0,IF(AND(AF184&gt;=AG184,AF184&lt;=AE184),Q184*((AF184-AG184)*12),IF(AND(AG184&lt;=AD184,AE184&gt;=AD184),((AE184-AD184)*12)*Q184,IF(AF184&gt;AE184,12*Q184,0)))))</f>
        <v>0</v>
      </c>
      <c r="T184" s="286">
        <f>IF(S184&gt;0,S184,R184)</f>
        <v>0</v>
      </c>
      <c r="U184" s="286">
        <v>1</v>
      </c>
      <c r="V184" s="286">
        <f>U184*SUM(R184:S184)</f>
        <v>0</v>
      </c>
      <c r="W184" s="286"/>
      <c r="X184" s="286">
        <f>IF(AD184&gt;AE184,0,IF(AF184&lt;AG184,P184,IF(AND(AF184&gt;=AG184,AF184&lt;=AE184),(P184-T184),IF(AND(AG184&lt;=AD184,AE184&gt;=AD184),0,IF(AF184&gt;AE184,((AG184-AD184)*12)*Q184,0)))))</f>
        <v>10240</v>
      </c>
      <c r="Y184" s="286">
        <f>X184*U184</f>
        <v>10240</v>
      </c>
      <c r="Z184" s="286">
        <v>1</v>
      </c>
      <c r="AA184" s="286">
        <f>Y184*Z184</f>
        <v>10240</v>
      </c>
      <c r="AB184" s="286">
        <f>IF(O184&gt;0,0,AA184+V184*Z184)*Z184</f>
        <v>10240</v>
      </c>
      <c r="AC184" s="286">
        <f>IF(O184&gt;0,(N184-AA184)/2,IF(AD184&gt;=AG184,(((N184*U184)*Z184)-AB184)/2,((((N184*U184)*Z184)-AA184)+(((N184*U184)*Z184)-AB184))/2))</f>
        <v>0</v>
      </c>
      <c r="AD184" s="286">
        <f>$E184+(($F184-1)/12)</f>
        <v>2003.9166666666667</v>
      </c>
      <c r="AE184" s="286">
        <f>($P$5+1)-($P$2/12)</f>
        <v>2018</v>
      </c>
      <c r="AF184" s="286">
        <f t="shared" si="435"/>
        <v>2013.9166666666667</v>
      </c>
      <c r="AG184" s="286">
        <f t="shared" si="436"/>
        <v>2017</v>
      </c>
      <c r="AH184" s="286">
        <f t="shared" si="437"/>
        <v>-8.3333333333333329E-2</v>
      </c>
      <c r="AJ184" s="11">
        <f t="shared" si="412"/>
        <v>0</v>
      </c>
      <c r="AL184" s="11">
        <f t="shared" si="413"/>
        <v>0</v>
      </c>
      <c r="AN184" s="11">
        <f t="shared" si="414"/>
        <v>0</v>
      </c>
      <c r="AP184" s="11">
        <f t="shared" si="415"/>
        <v>0</v>
      </c>
      <c r="AR184" s="11">
        <f t="shared" si="416"/>
        <v>0</v>
      </c>
    </row>
    <row r="185" spans="3:44">
      <c r="C185" s="282">
        <v>17</v>
      </c>
      <c r="D185" s="306" t="s">
        <v>155</v>
      </c>
      <c r="E185" s="282">
        <v>2003</v>
      </c>
      <c r="F185" s="284">
        <v>12</v>
      </c>
      <c r="G185" s="307">
        <v>0</v>
      </c>
      <c r="H185" s="286"/>
      <c r="I185" s="308" t="s">
        <v>86</v>
      </c>
      <c r="J185" s="284">
        <v>10</v>
      </c>
      <c r="K185" s="309">
        <f>E185+J185</f>
        <v>2013</v>
      </c>
      <c r="N185" s="285">
        <v>5623</v>
      </c>
      <c r="P185" s="286">
        <f t="shared" si="434"/>
        <v>5623</v>
      </c>
      <c r="Q185" s="286">
        <f>P185/J185/12</f>
        <v>46.858333333333327</v>
      </c>
      <c r="R185" s="286">
        <f>IF(O185&gt;0,0,IF(OR(AD185&gt;AE185,AF185&lt;AG185),0,IF(AND(AF185&gt;=AG185,AF185&lt;=AE185),Q185*((AF185-AG185)*12),IF(AND(AG185&lt;=AD185,AE185&gt;=AD185),((AE185-AD185)*12)*Q185,IF(AF185&gt;AE185,12*Q185,0)))))</f>
        <v>0</v>
      </c>
      <c r="T185" s="286">
        <f>IF(S185&gt;0,S185,R185)</f>
        <v>0</v>
      </c>
      <c r="U185" s="286">
        <v>1</v>
      </c>
      <c r="V185" s="286">
        <f>U185*SUM(R185:S185)</f>
        <v>0</v>
      </c>
      <c r="W185" s="286"/>
      <c r="X185" s="286">
        <f>IF(AD185&gt;AE185,0,IF(AF185&lt;AG185,P185,IF(AND(AF185&gt;=AG185,AF185&lt;=AE185),(P185-T185),IF(AND(AG185&lt;=AD185,AE185&gt;=AD185),0,IF(AF185&gt;AE185,((AG185-AD185)*12)*Q185,0)))))</f>
        <v>5623</v>
      </c>
      <c r="Y185" s="286">
        <f>X185*U185</f>
        <v>5623</v>
      </c>
      <c r="Z185" s="286">
        <v>1</v>
      </c>
      <c r="AA185" s="286">
        <f>Y185*Z185</f>
        <v>5623</v>
      </c>
      <c r="AB185" s="286">
        <f>IF(O185&gt;0,0,AA185+V185*Z185)*Z185</f>
        <v>5623</v>
      </c>
      <c r="AC185" s="286">
        <f>IF(O185&gt;0,(N185-AA185)/2,IF(AD185&gt;=AG185,(((N185*U185)*Z185)-AB185)/2,((((N185*U185)*Z185)-AA185)+(((N185*U185)*Z185)-AB185))/2))</f>
        <v>0</v>
      </c>
      <c r="AD185" s="286">
        <f>$E185+(($F185-1)/12)</f>
        <v>2003.9166666666667</v>
      </c>
      <c r="AE185" s="286">
        <f>($P$5+1)-($P$2/12)</f>
        <v>2018</v>
      </c>
      <c r="AF185" s="286">
        <f t="shared" si="435"/>
        <v>2013.9166666666667</v>
      </c>
      <c r="AG185" s="286">
        <f t="shared" si="436"/>
        <v>2017</v>
      </c>
      <c r="AH185" s="286">
        <f t="shared" si="437"/>
        <v>-8.3333333333333329E-2</v>
      </c>
      <c r="AJ185" s="11">
        <f t="shared" ref="AJ185:AJ228" si="438">+IF((AF185-AG185)&gt;3,((N185-P185)/(AF185-AG185)),(N185-P185)/3)</f>
        <v>0</v>
      </c>
      <c r="AL185" s="11">
        <f t="shared" ref="AL185:AL228" si="439">+AJ185+R185</f>
        <v>0</v>
      </c>
      <c r="AN185" s="11">
        <f t="shared" ref="AN185:AN228" si="440">+IF(AF185&lt;AG185,-AC185,0)</f>
        <v>0</v>
      </c>
      <c r="AP185" s="11">
        <f t="shared" ref="AP185:AP228" si="441">+IF(AF185&gt;AG185,IF(AJ185&gt;0,IF(O185&gt;0,(N185-AA185)/2,IF(AD185&gt;=AG185,(((N185*U185)*Z185)-(AB185+AJ185))/2,((((N185*U185)*Z185)-AA185)+(((N185*U185)*Z185)-(AB185+AJ185)))/2)),0),0)</f>
        <v>0</v>
      </c>
      <c r="AR185" s="11">
        <f t="shared" ref="AR185:AR228" si="442">+AC185+AN185+(IF(AP185&gt;0,(AP185-AC185),0))</f>
        <v>0</v>
      </c>
    </row>
    <row r="186" spans="3:44">
      <c r="D186" s="306"/>
      <c r="G186" s="307"/>
      <c r="H186" s="286"/>
      <c r="I186" s="308"/>
      <c r="K186" s="309"/>
      <c r="P186" s="286">
        <f t="shared" si="434"/>
        <v>0</v>
      </c>
      <c r="Q186" s="286"/>
      <c r="R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>
        <f t="shared" si="435"/>
        <v>-8.3333333333333329E-2</v>
      </c>
      <c r="AG186" s="286">
        <f t="shared" si="436"/>
        <v>2017</v>
      </c>
      <c r="AH186" s="286">
        <f t="shared" si="437"/>
        <v>-8.3333333333333329E-2</v>
      </c>
      <c r="AJ186" s="11">
        <f t="shared" si="438"/>
        <v>0</v>
      </c>
      <c r="AL186" s="11">
        <f t="shared" si="439"/>
        <v>0</v>
      </c>
      <c r="AN186" s="11">
        <f t="shared" si="440"/>
        <v>0</v>
      </c>
      <c r="AP186" s="11">
        <f t="shared" si="441"/>
        <v>0</v>
      </c>
      <c r="AR186" s="11">
        <f t="shared" si="442"/>
        <v>0</v>
      </c>
    </row>
    <row r="187" spans="3:44">
      <c r="C187" s="282">
        <v>30</v>
      </c>
      <c r="D187" s="306" t="s">
        <v>156</v>
      </c>
      <c r="E187" s="282">
        <v>2004</v>
      </c>
      <c r="F187" s="284">
        <v>5</v>
      </c>
      <c r="G187" s="307">
        <v>0</v>
      </c>
      <c r="H187" s="286"/>
      <c r="I187" s="308" t="s">
        <v>86</v>
      </c>
      <c r="J187" s="284">
        <v>7</v>
      </c>
      <c r="K187" s="309">
        <f>E187+J187</f>
        <v>2011</v>
      </c>
      <c r="N187" s="285">
        <v>4101</v>
      </c>
      <c r="P187" s="286">
        <f t="shared" si="434"/>
        <v>4101</v>
      </c>
      <c r="Q187" s="286">
        <f>P187/J187/12</f>
        <v>48.821428571428577</v>
      </c>
      <c r="R187" s="286">
        <f>IF(O187&gt;0,0,IF(OR(AD187&gt;AE187,AF187&lt;AG187),0,IF(AND(AF187&gt;=AG187,AF187&lt;=AE187),Q187*((AF187-AG187)*12),IF(AND(AG187&lt;=AD187,AE187&gt;=AD187),((AE187-AD187)*12)*Q187,IF(AF187&gt;AE187,12*Q187,0)))))</f>
        <v>0</v>
      </c>
      <c r="T187" s="286">
        <f t="shared" ref="T187:T194" si="443">IF(S187&gt;0,S187,R187)</f>
        <v>0</v>
      </c>
      <c r="U187" s="286">
        <v>1</v>
      </c>
      <c r="V187" s="286">
        <f>U187*SUM(R187:S187)</f>
        <v>0</v>
      </c>
      <c r="W187" s="286"/>
      <c r="X187" s="286">
        <f t="shared" ref="X187:X194" si="444">IF(AD187&gt;AE187,0,IF(AF187&lt;AG187,P187,IF(AND(AF187&gt;=AG187,AF187&lt;=AE187),(P187-T187),IF(AND(AG187&lt;=AD187,AE187&gt;=AD187),0,IF(AF187&gt;AE187,((AG187-AD187)*12)*Q187,0)))))</f>
        <v>4101</v>
      </c>
      <c r="Y187" s="286">
        <f t="shared" ref="Y187:Y194" si="445">X187*U187</f>
        <v>4101</v>
      </c>
      <c r="Z187" s="286">
        <v>1</v>
      </c>
      <c r="AA187" s="286">
        <f>Y187*Z187</f>
        <v>4101</v>
      </c>
      <c r="AB187" s="286">
        <f>IF(O187&gt;0,0,AA187+V187*Z187)*Z187</f>
        <v>4101</v>
      </c>
      <c r="AC187" s="286">
        <f>IF(O187&gt;0,(N187-AA187)/2,IF(AD187&gt;=AG187,(((N187*U187)*Z187)-AB187)/2,((((N187*U187)*Z187)-AA187)+(((N187*U187)*Z187)-AB187))/2))</f>
        <v>0</v>
      </c>
      <c r="AD187" s="286">
        <f>$E187+(($F187-1)/12)</f>
        <v>2004.3333333333333</v>
      </c>
      <c r="AE187" s="286">
        <f>($P$5+1)-($P$2/12)</f>
        <v>2018</v>
      </c>
      <c r="AF187" s="286">
        <f t="shared" si="435"/>
        <v>2011.3333333333333</v>
      </c>
      <c r="AG187" s="286">
        <f t="shared" si="436"/>
        <v>2017</v>
      </c>
      <c r="AH187" s="286">
        <f t="shared" si="437"/>
        <v>-8.3333333333333329E-2</v>
      </c>
      <c r="AJ187" s="11">
        <f t="shared" si="438"/>
        <v>0</v>
      </c>
      <c r="AL187" s="11">
        <f t="shared" si="439"/>
        <v>0</v>
      </c>
      <c r="AN187" s="11">
        <f t="shared" si="440"/>
        <v>0</v>
      </c>
      <c r="AP187" s="11">
        <f t="shared" si="441"/>
        <v>0</v>
      </c>
      <c r="AR187" s="11">
        <f t="shared" si="442"/>
        <v>0</v>
      </c>
    </row>
    <row r="188" spans="3:44">
      <c r="D188" s="306" t="s">
        <v>157</v>
      </c>
      <c r="E188" s="282">
        <v>2004</v>
      </c>
      <c r="F188" s="284">
        <v>5</v>
      </c>
      <c r="G188" s="307">
        <v>0</v>
      </c>
      <c r="H188" s="286"/>
      <c r="I188" s="308" t="s">
        <v>86</v>
      </c>
      <c r="J188" s="284">
        <v>7</v>
      </c>
      <c r="K188" s="309">
        <f>E188+J188</f>
        <v>2011</v>
      </c>
      <c r="N188" s="285">
        <f>3851+662</f>
        <v>4513</v>
      </c>
      <c r="P188" s="286">
        <f t="shared" si="434"/>
        <v>4513</v>
      </c>
      <c r="Q188" s="286">
        <f>P188/J188/12</f>
        <v>53.726190476190474</v>
      </c>
      <c r="R188" s="286">
        <f>IF(O188&gt;0,0,IF(OR(AD188&gt;AE188,AF188&lt;AG188),0,IF(AND(AF188&gt;=AG188,AF188&lt;=AE188),Q188*((AF188-AG188)*12),IF(AND(AG188&lt;=AD188,AE188&gt;=AD188),((AE188-AD188)*12)*Q188,IF(AF188&gt;AE188,12*Q188,0)))))</f>
        <v>0</v>
      </c>
      <c r="T188" s="286">
        <f t="shared" si="443"/>
        <v>0</v>
      </c>
      <c r="U188" s="286">
        <v>1</v>
      </c>
      <c r="V188" s="286">
        <f>U188*SUM(R188:S188)</f>
        <v>0</v>
      </c>
      <c r="W188" s="286"/>
      <c r="X188" s="286">
        <f t="shared" si="444"/>
        <v>4513</v>
      </c>
      <c r="Y188" s="286">
        <f t="shared" si="445"/>
        <v>4513</v>
      </c>
      <c r="Z188" s="286">
        <v>1</v>
      </c>
      <c r="AA188" s="286">
        <f>Y188*Z188</f>
        <v>4513</v>
      </c>
      <c r="AB188" s="286">
        <f>IF(O188&gt;0,0,AA188+V188*Z188)*Z188</f>
        <v>4513</v>
      </c>
      <c r="AC188" s="286">
        <f>IF(O188&gt;0,(N188-AA188)/2,IF(AD188&gt;=AG188,(((N188*U188)*Z188)-AB188)/2,((((N188*U188)*Z188)-AA188)+(((N188*U188)*Z188)-AB188))/2))</f>
        <v>0</v>
      </c>
      <c r="AD188" s="286">
        <f>$E188+(($F188-1)/12)</f>
        <v>2004.3333333333333</v>
      </c>
      <c r="AE188" s="286">
        <f>($P$5+1)-($P$2/12)</f>
        <v>2018</v>
      </c>
      <c r="AF188" s="286">
        <f t="shared" si="435"/>
        <v>2011.3333333333333</v>
      </c>
      <c r="AG188" s="286">
        <f t="shared" si="436"/>
        <v>2017</v>
      </c>
      <c r="AH188" s="286">
        <f t="shared" si="437"/>
        <v>-8.3333333333333329E-2</v>
      </c>
      <c r="AJ188" s="11">
        <f t="shared" si="438"/>
        <v>0</v>
      </c>
      <c r="AL188" s="11">
        <f t="shared" si="439"/>
        <v>0</v>
      </c>
      <c r="AN188" s="11">
        <f t="shared" si="440"/>
        <v>0</v>
      </c>
      <c r="AP188" s="11">
        <f t="shared" si="441"/>
        <v>0</v>
      </c>
      <c r="AR188" s="11">
        <f t="shared" si="442"/>
        <v>0</v>
      </c>
    </row>
    <row r="189" spans="3:44">
      <c r="C189" s="282">
        <v>18</v>
      </c>
      <c r="D189" s="306" t="s">
        <v>158</v>
      </c>
      <c r="E189" s="282">
        <v>2004</v>
      </c>
      <c r="F189" s="284">
        <v>6</v>
      </c>
      <c r="G189" s="307">
        <v>0</v>
      </c>
      <c r="H189" s="286"/>
      <c r="I189" s="308" t="s">
        <v>86</v>
      </c>
      <c r="J189" s="284">
        <v>10</v>
      </c>
      <c r="K189" s="309">
        <f>E189+J189</f>
        <v>2014</v>
      </c>
      <c r="N189" s="285">
        <v>7272</v>
      </c>
      <c r="P189" s="286">
        <f t="shared" si="434"/>
        <v>7272</v>
      </c>
      <c r="Q189" s="286">
        <f>P189/J189/12</f>
        <v>60.6</v>
      </c>
      <c r="R189" s="286">
        <f>IF(O189&gt;0,0,IF(OR(AD189&gt;AE189,AF189&lt;AG189),0,IF(AND(AF189&gt;=AG189,AF189&lt;=AE189),Q189*((AF189-AG189)*12),IF(AND(AG189&lt;=AD189,AE189&gt;=AD189),((AE189-AD189)*12)*Q189,IF(AF189&gt;AE189,12*Q189,0)))))</f>
        <v>0</v>
      </c>
      <c r="T189" s="286">
        <f t="shared" si="443"/>
        <v>0</v>
      </c>
      <c r="U189" s="286">
        <v>1</v>
      </c>
      <c r="V189" s="286">
        <f>U189*SUM(R189:S189)</f>
        <v>0</v>
      </c>
      <c r="W189" s="286"/>
      <c r="X189" s="286">
        <f t="shared" si="444"/>
        <v>7272</v>
      </c>
      <c r="Y189" s="286">
        <f t="shared" si="445"/>
        <v>7272</v>
      </c>
      <c r="Z189" s="286">
        <v>1</v>
      </c>
      <c r="AA189" s="286">
        <f>Y189*Z189</f>
        <v>7272</v>
      </c>
      <c r="AB189" s="286">
        <f>IF(O189&gt;0,0,AA189+V189*Z189)*Z189</f>
        <v>7272</v>
      </c>
      <c r="AC189" s="286">
        <f>IF(O189&gt;0,(N189-AA189)/2,IF(AD189&gt;=AG189,(((N189*U189)*Z189)-AB189)/2,((((N189*U189)*Z189)-AA189)+(((N189*U189)*Z189)-AB189))/2))</f>
        <v>0</v>
      </c>
      <c r="AD189" s="286">
        <f>$E189+(($F189-1)/12)</f>
        <v>2004.4166666666667</v>
      </c>
      <c r="AE189" s="286">
        <f>($P$5+1)-($P$2/12)</f>
        <v>2018</v>
      </c>
      <c r="AF189" s="286">
        <f t="shared" si="435"/>
        <v>2014.4166666666667</v>
      </c>
      <c r="AG189" s="286">
        <f t="shared" si="436"/>
        <v>2017</v>
      </c>
      <c r="AH189" s="286">
        <f t="shared" si="437"/>
        <v>-8.3333333333333329E-2</v>
      </c>
      <c r="AJ189" s="11">
        <f t="shared" si="438"/>
        <v>0</v>
      </c>
      <c r="AL189" s="11">
        <f t="shared" si="439"/>
        <v>0</v>
      </c>
      <c r="AN189" s="11">
        <f t="shared" si="440"/>
        <v>0</v>
      </c>
      <c r="AP189" s="11">
        <f t="shared" si="441"/>
        <v>0</v>
      </c>
      <c r="AR189" s="11">
        <f t="shared" si="442"/>
        <v>0</v>
      </c>
    </row>
    <row r="190" spans="3:44">
      <c r="C190" s="282">
        <v>5</v>
      </c>
      <c r="D190" s="306" t="s">
        <v>159</v>
      </c>
      <c r="E190" s="282">
        <v>2004</v>
      </c>
      <c r="F190" s="284">
        <v>6</v>
      </c>
      <c r="G190" s="307">
        <v>0</v>
      </c>
      <c r="H190" s="286"/>
      <c r="I190" s="308" t="s">
        <v>86</v>
      </c>
      <c r="J190" s="284">
        <v>10</v>
      </c>
      <c r="K190" s="309">
        <f>E190+J190</f>
        <v>2014</v>
      </c>
      <c r="N190" s="285">
        <v>1875</v>
      </c>
      <c r="P190" s="286">
        <f t="shared" si="434"/>
        <v>1875</v>
      </c>
      <c r="Q190" s="286">
        <f>P190/J190/12</f>
        <v>15.625</v>
      </c>
      <c r="R190" s="286">
        <f>IF(O190&gt;0,0,IF(OR(AD190&gt;AE190,AF190&lt;AG190),0,IF(AND(AF190&gt;=AG190,AF190&lt;=AE190),Q190*((AF190-AG190)*12),IF(AND(AG190&lt;=AD190,AE190&gt;=AD190),((AE190-AD190)*12)*Q190,IF(AF190&gt;AE190,12*Q190,0)))))</f>
        <v>0</v>
      </c>
      <c r="T190" s="286">
        <f t="shared" si="443"/>
        <v>0</v>
      </c>
      <c r="U190" s="286">
        <v>1</v>
      </c>
      <c r="V190" s="286">
        <f>U190*SUM(R190:S190)</f>
        <v>0</v>
      </c>
      <c r="W190" s="286"/>
      <c r="X190" s="286">
        <f t="shared" si="444"/>
        <v>1875</v>
      </c>
      <c r="Y190" s="286">
        <f t="shared" si="445"/>
        <v>1875</v>
      </c>
      <c r="Z190" s="286">
        <v>1</v>
      </c>
      <c r="AA190" s="286">
        <f>Y190*Z190</f>
        <v>1875</v>
      </c>
      <c r="AB190" s="286">
        <f>IF(O190&gt;0,0,AA190+V190*Z190)*Z190</f>
        <v>1875</v>
      </c>
      <c r="AC190" s="286">
        <f>IF(O190&gt;0,(N190-AA190)/2,IF(AD190&gt;=AG190,(((N190*U190)*Z190)-AB190)/2,((((N190*U190)*Z190)-AA190)+(((N190*U190)*Z190)-AB190))/2))</f>
        <v>0</v>
      </c>
      <c r="AD190" s="286">
        <f>$E190+(($F190-1)/12)</f>
        <v>2004.4166666666667</v>
      </c>
      <c r="AE190" s="286">
        <f>($P$5+1)-($P$2/12)</f>
        <v>2018</v>
      </c>
      <c r="AF190" s="286">
        <f t="shared" si="435"/>
        <v>2014.4166666666667</v>
      </c>
      <c r="AG190" s="286">
        <f t="shared" si="436"/>
        <v>2017</v>
      </c>
      <c r="AH190" s="286">
        <f t="shared" si="437"/>
        <v>-8.3333333333333329E-2</v>
      </c>
      <c r="AJ190" s="11">
        <f t="shared" si="438"/>
        <v>0</v>
      </c>
      <c r="AL190" s="11">
        <f t="shared" si="439"/>
        <v>0</v>
      </c>
      <c r="AN190" s="11">
        <f t="shared" si="440"/>
        <v>0</v>
      </c>
      <c r="AP190" s="11">
        <f t="shared" si="441"/>
        <v>0</v>
      </c>
      <c r="AR190" s="11">
        <f t="shared" si="442"/>
        <v>0</v>
      </c>
    </row>
    <row r="191" spans="3:44">
      <c r="D191" s="306" t="s">
        <v>157</v>
      </c>
      <c r="E191" s="282">
        <v>2004</v>
      </c>
      <c r="F191" s="284">
        <v>8</v>
      </c>
      <c r="G191" s="307">
        <v>0</v>
      </c>
      <c r="H191" s="286"/>
      <c r="I191" s="308" t="s">
        <v>86</v>
      </c>
      <c r="J191" s="284">
        <v>7</v>
      </c>
      <c r="K191" s="309">
        <f>E191+J191</f>
        <v>2011</v>
      </c>
      <c r="N191" s="285">
        <f>993+1189+1323+1195</f>
        <v>4700</v>
      </c>
      <c r="P191" s="286">
        <f t="shared" si="434"/>
        <v>4700</v>
      </c>
      <c r="Q191" s="286">
        <f>P191/J191/12</f>
        <v>55.952380952380956</v>
      </c>
      <c r="R191" s="286">
        <f>IF(O191&gt;0,0,IF(OR(AD191&gt;AE191,AF191&lt;AG191),0,IF(AND(AF191&gt;=AG191,AF191&lt;=AE191),Q191*((AF191-AG191)*12),IF(AND(AG191&lt;=AD191,AE191&gt;=AD191),((AE191-AD191)*12)*Q191,IF(AF191&gt;AE191,12*Q191,0)))))</f>
        <v>0</v>
      </c>
      <c r="T191" s="286">
        <f t="shared" si="443"/>
        <v>0</v>
      </c>
      <c r="U191" s="286">
        <v>1</v>
      </c>
      <c r="V191" s="286">
        <f>U191*SUM(R191:S191)</f>
        <v>0</v>
      </c>
      <c r="W191" s="286"/>
      <c r="X191" s="286">
        <f t="shared" si="444"/>
        <v>4700</v>
      </c>
      <c r="Y191" s="286">
        <f t="shared" si="445"/>
        <v>4700</v>
      </c>
      <c r="Z191" s="286">
        <v>1</v>
      </c>
      <c r="AA191" s="286">
        <f>Y191*Z191</f>
        <v>4700</v>
      </c>
      <c r="AB191" s="286">
        <f>IF(O191&gt;0,0,AA191+V191*Z191)*Z191</f>
        <v>4700</v>
      </c>
      <c r="AC191" s="286">
        <f>IF(O191&gt;0,(N191-AA191)/2,IF(AD191&gt;=AG191,(((N191*U191)*Z191)-AB191)/2,((((N191*U191)*Z191)-AA191)+(((N191*U191)*Z191)-AB191))/2))</f>
        <v>0</v>
      </c>
      <c r="AD191" s="286">
        <f>$E191+(($F191-1)/12)</f>
        <v>2004.5833333333333</v>
      </c>
      <c r="AE191" s="286">
        <f>($P$5+1)-($P$2/12)</f>
        <v>2018</v>
      </c>
      <c r="AF191" s="286">
        <f t="shared" si="435"/>
        <v>2011.5833333333333</v>
      </c>
      <c r="AG191" s="286">
        <f t="shared" si="436"/>
        <v>2017</v>
      </c>
      <c r="AH191" s="286">
        <f t="shared" si="437"/>
        <v>-8.3333333333333329E-2</v>
      </c>
      <c r="AJ191" s="11">
        <f t="shared" si="438"/>
        <v>0</v>
      </c>
      <c r="AL191" s="11">
        <f t="shared" si="439"/>
        <v>0</v>
      </c>
      <c r="AN191" s="11">
        <f t="shared" si="440"/>
        <v>0</v>
      </c>
      <c r="AP191" s="11">
        <f t="shared" si="441"/>
        <v>0</v>
      </c>
      <c r="AR191" s="11">
        <f t="shared" si="442"/>
        <v>0</v>
      </c>
    </row>
    <row r="192" spans="3:44">
      <c r="D192" s="306"/>
      <c r="G192" s="307"/>
      <c r="H192" s="286"/>
      <c r="I192" s="308"/>
      <c r="K192" s="309"/>
      <c r="P192" s="286"/>
      <c r="Q192" s="286"/>
      <c r="R192" s="286"/>
      <c r="T192" s="286">
        <f t="shared" si="443"/>
        <v>0</v>
      </c>
      <c r="U192" s="286"/>
      <c r="V192" s="286"/>
      <c r="W192" s="286"/>
      <c r="X192" s="286">
        <f t="shared" si="444"/>
        <v>0</v>
      </c>
      <c r="Y192" s="286">
        <f t="shared" si="445"/>
        <v>0</v>
      </c>
      <c r="Z192" s="286">
        <v>1</v>
      </c>
      <c r="AA192" s="286"/>
      <c r="AB192" s="286"/>
      <c r="AC192" s="286"/>
      <c r="AD192" s="286"/>
      <c r="AE192" s="286"/>
      <c r="AF192" s="286"/>
      <c r="AG192" s="286"/>
      <c r="AH192" s="286"/>
      <c r="AJ192" s="11">
        <f t="shared" si="438"/>
        <v>0</v>
      </c>
      <c r="AL192" s="11">
        <f t="shared" si="439"/>
        <v>0</v>
      </c>
      <c r="AN192" s="11">
        <f t="shared" si="440"/>
        <v>0</v>
      </c>
      <c r="AP192" s="11">
        <f t="shared" si="441"/>
        <v>0</v>
      </c>
      <c r="AR192" s="11">
        <f t="shared" si="442"/>
        <v>0</v>
      </c>
    </row>
    <row r="193" spans="3:44">
      <c r="C193" s="282">
        <v>24</v>
      </c>
      <c r="D193" s="306" t="s">
        <v>158</v>
      </c>
      <c r="E193" s="282">
        <v>2005</v>
      </c>
      <c r="F193" s="284">
        <v>7</v>
      </c>
      <c r="G193" s="307">
        <v>0</v>
      </c>
      <c r="H193" s="286"/>
      <c r="I193" s="308" t="s">
        <v>86</v>
      </c>
      <c r="J193" s="284">
        <v>10</v>
      </c>
      <c r="K193" s="309">
        <f>E193+J193</f>
        <v>2015</v>
      </c>
      <c r="N193" s="285">
        <v>10944</v>
      </c>
      <c r="P193" s="286">
        <f>N193-N193*G193</f>
        <v>10944</v>
      </c>
      <c r="Q193" s="286">
        <f>P193/J193/12</f>
        <v>91.2</v>
      </c>
      <c r="R193" s="286">
        <f>IF(O193&gt;0,0,IF(OR(AD193&gt;AE193,AF193&lt;AG193),0,IF(AND(AF193&gt;=AG193,AF193&lt;=AE193),Q193*((AF193-AG193)*12),IF(AND(AG193&lt;=AD193,AE193&gt;=AD193),((AE193-AD193)*12)*Q193,IF(AF193&gt;AE193,12*Q193,0)))))</f>
        <v>0</v>
      </c>
      <c r="T193" s="286">
        <f t="shared" si="443"/>
        <v>0</v>
      </c>
      <c r="U193" s="286">
        <v>1</v>
      </c>
      <c r="V193" s="286">
        <f>U193*SUM(R193:S193)</f>
        <v>0</v>
      </c>
      <c r="W193" s="286"/>
      <c r="X193" s="286">
        <f t="shared" si="444"/>
        <v>10944</v>
      </c>
      <c r="Y193" s="286">
        <f t="shared" si="445"/>
        <v>10944</v>
      </c>
      <c r="Z193" s="286">
        <v>1</v>
      </c>
      <c r="AA193" s="286">
        <f>Y193*Z193</f>
        <v>10944</v>
      </c>
      <c r="AB193" s="286">
        <f>IF(O193&gt;0,0,AA193+V193*Z193)*Z193</f>
        <v>10944</v>
      </c>
      <c r="AC193" s="286">
        <f>IF(O193&gt;0,(N193-AA193)/2,IF(AD193&gt;=AG193,(((N193*U193)*Z193)-AB193)/2,((((N193*U193)*Z193)-AA193)+(((N193*U193)*Z193)-AB193))/2))</f>
        <v>0</v>
      </c>
      <c r="AD193" s="286">
        <f>$E193+(($F193-1)/12)</f>
        <v>2005.5</v>
      </c>
      <c r="AE193" s="286">
        <f>($P$5+1)-($P$2/12)</f>
        <v>2018</v>
      </c>
      <c r="AF193" s="286">
        <f>$K193+(($F193-1)/12)</f>
        <v>2015.5</v>
      </c>
      <c r="AG193" s="286">
        <f>$P$4+($P$3/12)</f>
        <v>2017</v>
      </c>
      <c r="AH193" s="286">
        <f>$L193+(($M193-1)/12)</f>
        <v>-8.3333333333333329E-2</v>
      </c>
      <c r="AJ193" s="11">
        <f t="shared" si="438"/>
        <v>0</v>
      </c>
      <c r="AL193" s="11">
        <f t="shared" si="439"/>
        <v>0</v>
      </c>
      <c r="AN193" s="11">
        <f t="shared" si="440"/>
        <v>0</v>
      </c>
      <c r="AP193" s="11">
        <f t="shared" si="441"/>
        <v>0</v>
      </c>
      <c r="AR193" s="11">
        <f t="shared" si="442"/>
        <v>0</v>
      </c>
    </row>
    <row r="194" spans="3:44">
      <c r="C194" s="282">
        <v>9</v>
      </c>
      <c r="D194" s="306" t="s">
        <v>159</v>
      </c>
      <c r="E194" s="282">
        <v>2005</v>
      </c>
      <c r="F194" s="284">
        <v>7</v>
      </c>
      <c r="G194" s="307">
        <v>0</v>
      </c>
      <c r="H194" s="286"/>
      <c r="I194" s="308" t="s">
        <v>86</v>
      </c>
      <c r="J194" s="284">
        <v>10</v>
      </c>
      <c r="K194" s="309">
        <f>E194+J194</f>
        <v>2015</v>
      </c>
      <c r="N194" s="285">
        <v>3933</v>
      </c>
      <c r="P194" s="286">
        <f>N194-N194*G194</f>
        <v>3933</v>
      </c>
      <c r="Q194" s="286">
        <f>P194/J194/12</f>
        <v>32.774999999999999</v>
      </c>
      <c r="R194" s="286">
        <f>IF(O194&gt;0,0,IF(OR(AD194&gt;AE194,AF194&lt;AG194),0,IF(AND(AF194&gt;=AG194,AF194&lt;=AE194),Q194*((AF194-AG194)*12),IF(AND(AG194&lt;=AD194,AE194&gt;=AD194),((AE194-AD194)*12)*Q194,IF(AF194&gt;AE194,12*Q194,0)))))</f>
        <v>0</v>
      </c>
      <c r="T194" s="286">
        <f t="shared" si="443"/>
        <v>0</v>
      </c>
      <c r="U194" s="286">
        <v>1</v>
      </c>
      <c r="V194" s="286">
        <f>U194*SUM(R194:S194)</f>
        <v>0</v>
      </c>
      <c r="W194" s="286"/>
      <c r="X194" s="286">
        <f t="shared" si="444"/>
        <v>3933</v>
      </c>
      <c r="Y194" s="286">
        <f t="shared" si="445"/>
        <v>3933</v>
      </c>
      <c r="Z194" s="286">
        <v>1</v>
      </c>
      <c r="AA194" s="286">
        <f>Y194*Z194</f>
        <v>3933</v>
      </c>
      <c r="AB194" s="286">
        <f>IF(O194&gt;0,0,AA194+V194*Z194)*Z194</f>
        <v>3933</v>
      </c>
      <c r="AC194" s="286">
        <f>IF(O194&gt;0,(N194-AA194)/2,IF(AD194&gt;=AG194,(((N194*U194)*Z194)-AB194)/2,((((N194*U194)*Z194)-AA194)+(((N194*U194)*Z194)-AB194))/2))</f>
        <v>0</v>
      </c>
      <c r="AD194" s="286">
        <f>$E194+(($F194-1)/12)</f>
        <v>2005.5</v>
      </c>
      <c r="AE194" s="286">
        <f>($P$5+1)-($P$2/12)</f>
        <v>2018</v>
      </c>
      <c r="AF194" s="286">
        <f>$K194+(($F194-1)/12)</f>
        <v>2015.5</v>
      </c>
      <c r="AG194" s="286">
        <f>$P$4+($P$3/12)</f>
        <v>2017</v>
      </c>
      <c r="AH194" s="286">
        <f>$L194+(($M194-1)/12)</f>
        <v>-8.3333333333333329E-2</v>
      </c>
      <c r="AJ194" s="11">
        <f t="shared" si="438"/>
        <v>0</v>
      </c>
      <c r="AL194" s="11">
        <f t="shared" si="439"/>
        <v>0</v>
      </c>
      <c r="AN194" s="11">
        <f t="shared" si="440"/>
        <v>0</v>
      </c>
      <c r="AP194" s="11">
        <f t="shared" si="441"/>
        <v>0</v>
      </c>
      <c r="AR194" s="11">
        <f t="shared" si="442"/>
        <v>0</v>
      </c>
    </row>
    <row r="195" spans="3:44">
      <c r="D195" s="306"/>
      <c r="G195" s="307"/>
      <c r="H195" s="286"/>
      <c r="I195" s="308"/>
      <c r="K195" s="309"/>
      <c r="P195" s="286"/>
      <c r="Q195" s="286"/>
      <c r="R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>
        <f>$E195+(($F195-1)/12)</f>
        <v>-8.3333333333333329E-2</v>
      </c>
      <c r="AE195" s="286">
        <f>($P$5+1)-($P$2/12)</f>
        <v>2018</v>
      </c>
      <c r="AF195" s="286">
        <f>$K195+(($F195-1)/12)</f>
        <v>-8.3333333333333329E-2</v>
      </c>
      <c r="AG195" s="286">
        <f>$P$4+($P$3/12)</f>
        <v>2017</v>
      </c>
      <c r="AH195" s="286">
        <f>$L195+(($M195-1)/12)</f>
        <v>-8.3333333333333329E-2</v>
      </c>
      <c r="AJ195" s="11">
        <f t="shared" si="438"/>
        <v>0</v>
      </c>
      <c r="AL195" s="11">
        <f t="shared" si="439"/>
        <v>0</v>
      </c>
      <c r="AN195" s="11">
        <f t="shared" si="440"/>
        <v>0</v>
      </c>
      <c r="AP195" s="11">
        <f t="shared" si="441"/>
        <v>0</v>
      </c>
      <c r="AR195" s="11">
        <f t="shared" si="442"/>
        <v>0</v>
      </c>
    </row>
    <row r="196" spans="3:44">
      <c r="C196" s="282">
        <v>50</v>
      </c>
      <c r="D196" s="306" t="s">
        <v>158</v>
      </c>
      <c r="E196" s="282">
        <v>2006</v>
      </c>
      <c r="F196" s="284">
        <v>3</v>
      </c>
      <c r="G196" s="307">
        <v>0</v>
      </c>
      <c r="H196" s="286"/>
      <c r="I196" s="308" t="s">
        <v>86</v>
      </c>
      <c r="J196" s="284">
        <v>10</v>
      </c>
      <c r="K196" s="309">
        <f>E196+J196</f>
        <v>2016</v>
      </c>
      <c r="N196" s="285">
        <f>435*50</f>
        <v>21750</v>
      </c>
      <c r="P196" s="286">
        <f>N196-N196*G196</f>
        <v>21750</v>
      </c>
      <c r="Q196" s="286">
        <f>P196/J196/12</f>
        <v>181.25</v>
      </c>
      <c r="R196" s="286">
        <f>IF(O196&gt;0,0,IF(OR(AD196&gt;AE196,AF196&lt;AG196),0,IF(AND(AF196&gt;=AG196,AF196&lt;=AE196),Q196*((AF196-AG196)*12),IF(AND(AG196&lt;=AD196,AE196&gt;=AD196),((AE196-AD196)*12)*Q196,IF(AF196&gt;AE196,12*Q196,0)))))</f>
        <v>0</v>
      </c>
      <c r="T196" s="286">
        <f>IF(S196&gt;0,S196,R196)</f>
        <v>0</v>
      </c>
      <c r="U196" s="286">
        <v>1</v>
      </c>
      <c r="V196" s="286">
        <f>U196*SUM(R196:S196)</f>
        <v>0</v>
      </c>
      <c r="W196" s="286"/>
      <c r="X196" s="286">
        <f>IF(AD196&gt;AE196,0,IF(AF196&lt;AG196,P196,IF(AND(AF196&gt;=AG196,AF196&lt;=AE196),(P196-T196),IF(AND(AG196&lt;=AD196,AE196&gt;=AD196),0,IF(AF196&gt;AE196,((AG196-AD196)*12)*Q196,0)))))</f>
        <v>21750</v>
      </c>
      <c r="Y196" s="286">
        <f>X196*U196</f>
        <v>21750</v>
      </c>
      <c r="Z196" s="286">
        <v>1</v>
      </c>
      <c r="AA196" s="286">
        <f>Y196*Z196</f>
        <v>21750</v>
      </c>
      <c r="AB196" s="286">
        <f>IF(O196&gt;0,0,AA196+V196*Z196)*Z196</f>
        <v>21750</v>
      </c>
      <c r="AC196" s="286">
        <f>IF(O196&gt;0,(N196-AA196)/2,IF(AD196&gt;=AG196,(((N196*U196)*Z196)-AB196)/2,((((N196*U196)*Z196)-AA196)+(((N196*U196)*Z196)-AB196))/2))</f>
        <v>0</v>
      </c>
      <c r="AD196" s="286">
        <f>$E196+(($F196-1)/12)</f>
        <v>2006.1666666666667</v>
      </c>
      <c r="AE196" s="286">
        <f>($P$5+1)-($P$2/12)</f>
        <v>2018</v>
      </c>
      <c r="AF196" s="286">
        <f>$K196+(($F196-1)/12)</f>
        <v>2016.1666666666667</v>
      </c>
      <c r="AG196" s="286">
        <f>$P$4+($P$3/12)</f>
        <v>2017</v>
      </c>
      <c r="AH196" s="286">
        <f>$L196+(($M196-1)/12)</f>
        <v>-8.3333333333333329E-2</v>
      </c>
      <c r="AJ196" s="11">
        <f t="shared" si="438"/>
        <v>0</v>
      </c>
      <c r="AL196" s="11">
        <f t="shared" si="439"/>
        <v>0</v>
      </c>
      <c r="AN196" s="11">
        <f t="shared" si="440"/>
        <v>0</v>
      </c>
      <c r="AP196" s="11">
        <f t="shared" si="441"/>
        <v>0</v>
      </c>
      <c r="AR196" s="11">
        <f t="shared" si="442"/>
        <v>0</v>
      </c>
    </row>
    <row r="197" spans="3:44">
      <c r="C197" s="282">
        <v>20</v>
      </c>
      <c r="D197" s="306" t="s">
        <v>159</v>
      </c>
      <c r="E197" s="282">
        <v>2006</v>
      </c>
      <c r="F197" s="284">
        <v>3</v>
      </c>
      <c r="G197" s="307">
        <v>0</v>
      </c>
      <c r="H197" s="286"/>
      <c r="I197" s="308" t="s">
        <v>86</v>
      </c>
      <c r="J197" s="284">
        <v>10</v>
      </c>
      <c r="K197" s="309">
        <f>E197+J197</f>
        <v>2016</v>
      </c>
      <c r="N197" s="285">
        <f>415*20</f>
        <v>8300</v>
      </c>
      <c r="P197" s="286">
        <f>N197-N197*G197</f>
        <v>8300</v>
      </c>
      <c r="Q197" s="286">
        <f>P197/J197/12</f>
        <v>69.166666666666671</v>
      </c>
      <c r="R197" s="286">
        <f>IF(O197&gt;0,0,IF(OR(AD197&gt;AE197,AF197&lt;AG197),0,IF(AND(AF197&gt;=AG197,AF197&lt;=AE197),Q197*((AF197-AG197)*12),IF(AND(AG197&lt;=AD197,AE197&gt;=AD197),((AE197-AD197)*12)*Q197,IF(AF197&gt;AE197,12*Q197,0)))))</f>
        <v>0</v>
      </c>
      <c r="T197" s="286">
        <f>IF(S197&gt;0,S197,R197)</f>
        <v>0</v>
      </c>
      <c r="U197" s="286">
        <v>1</v>
      </c>
      <c r="V197" s="286">
        <f>U197*SUM(R197:S197)</f>
        <v>0</v>
      </c>
      <c r="W197" s="286"/>
      <c r="X197" s="286">
        <f>IF(AD197&gt;AE197,0,IF(AF197&lt;AG197,P197,IF(AND(AF197&gt;=AG197,AF197&lt;=AE197),(P197-T197),IF(AND(AG197&lt;=AD197,AE197&gt;=AD197),0,IF(AF197&gt;AE197,((AG197-AD197)*12)*Q197,0)))))</f>
        <v>8300</v>
      </c>
      <c r="Y197" s="286">
        <f>X197*U197</f>
        <v>8300</v>
      </c>
      <c r="Z197" s="286">
        <v>1</v>
      </c>
      <c r="AA197" s="286">
        <f>Y197*Z197</f>
        <v>8300</v>
      </c>
      <c r="AB197" s="286">
        <f>IF(O197&gt;0,0,AA197+V197*Z197)*Z197</f>
        <v>8300</v>
      </c>
      <c r="AC197" s="286">
        <f>IF(O197&gt;0,(N197-AA197)/2,IF(AD197&gt;=AG197,(((N197*U197)*Z197)-AB197)/2,((((N197*U197)*Z197)-AA197)+(((N197*U197)*Z197)-AB197))/2))</f>
        <v>0</v>
      </c>
      <c r="AD197" s="286">
        <f>$E197+(($F197-1)/12)</f>
        <v>2006.1666666666667</v>
      </c>
      <c r="AE197" s="286">
        <f>($P$5+1)-($P$2/12)</f>
        <v>2018</v>
      </c>
      <c r="AF197" s="286">
        <f>$K197+(($F197-1)/12)</f>
        <v>2016.1666666666667</v>
      </c>
      <c r="AG197" s="286">
        <f>$P$4+($P$3/12)</f>
        <v>2017</v>
      </c>
      <c r="AH197" s="286">
        <f>$L197+(($M197-1)/12)</f>
        <v>-8.3333333333333329E-2</v>
      </c>
      <c r="AJ197" s="11">
        <f t="shared" si="438"/>
        <v>0</v>
      </c>
      <c r="AL197" s="11">
        <f t="shared" si="439"/>
        <v>0</v>
      </c>
      <c r="AN197" s="11">
        <f t="shared" si="440"/>
        <v>0</v>
      </c>
      <c r="AP197" s="11">
        <f t="shared" si="441"/>
        <v>0</v>
      </c>
      <c r="AR197" s="11">
        <f t="shared" si="442"/>
        <v>0</v>
      </c>
    </row>
    <row r="198" spans="3:44">
      <c r="D198" s="306"/>
      <c r="G198" s="307"/>
      <c r="H198" s="286"/>
      <c r="I198" s="308"/>
      <c r="K198" s="309"/>
      <c r="P198" s="286"/>
      <c r="Q198" s="286"/>
      <c r="R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J198" s="11">
        <f t="shared" si="438"/>
        <v>0</v>
      </c>
      <c r="AL198" s="11">
        <f t="shared" si="439"/>
        <v>0</v>
      </c>
      <c r="AN198" s="11">
        <f t="shared" si="440"/>
        <v>0</v>
      </c>
      <c r="AP198" s="11">
        <f t="shared" si="441"/>
        <v>0</v>
      </c>
      <c r="AR198" s="11">
        <f t="shared" si="442"/>
        <v>0</v>
      </c>
    </row>
    <row r="199" spans="3:44">
      <c r="C199" s="282">
        <v>53</v>
      </c>
      <c r="D199" s="306" t="s">
        <v>160</v>
      </c>
      <c r="E199" s="282">
        <v>2007</v>
      </c>
      <c r="F199" s="284">
        <v>5</v>
      </c>
      <c r="G199" s="307">
        <v>0</v>
      </c>
      <c r="H199" s="286"/>
      <c r="I199" s="308" t="s">
        <v>86</v>
      </c>
      <c r="J199" s="284">
        <v>10</v>
      </c>
      <c r="K199" s="309">
        <f>E199+J199</f>
        <v>2017</v>
      </c>
      <c r="N199" s="285">
        <v>22048</v>
      </c>
      <c r="P199" s="286">
        <f>N199-N199*G199</f>
        <v>22048</v>
      </c>
      <c r="Q199" s="286">
        <f>P199/J199/12</f>
        <v>183.73333333333335</v>
      </c>
      <c r="R199" s="286">
        <f>IF(O199&gt;0,0,IF(OR(AD199&gt;AE199,AF199&lt;AG199),0,IF(AND(AF199&gt;=AG199,AF199&lt;=AE199),Q199*((AF199-AG199)*12),IF(AND(AG199&lt;=AD199,AE199&gt;=AD199),((AE199-AD199)*12)*Q199,IF(AF199&gt;AE199,12*Q199,0)))))</f>
        <v>734.93333333316627</v>
      </c>
      <c r="T199" s="286">
        <f>IF(S199&gt;0,S199,R199)</f>
        <v>734.93333333316627</v>
      </c>
      <c r="U199" s="286">
        <v>1</v>
      </c>
      <c r="V199" s="286">
        <f>U199*SUM(R199:S199)</f>
        <v>734.93333333316627</v>
      </c>
      <c r="W199" s="286"/>
      <c r="X199" s="286">
        <f>IF(AD199&gt;AE199,0,IF(AF199&lt;AG199,P199,IF(AND(AF199&gt;=AG199,AF199&lt;=AE199),(P199-T199),IF(AND(AG199&lt;=AD199,AE199&gt;=AD199),0,IF(AF199&gt;AE199,((AG199-AD199)*12)*Q199,0)))))</f>
        <v>21313.066666666833</v>
      </c>
      <c r="Y199" s="286">
        <f>X199*U199</f>
        <v>21313.066666666833</v>
      </c>
      <c r="Z199" s="286">
        <v>1</v>
      </c>
      <c r="AA199" s="286">
        <f>Y199*Z199</f>
        <v>21313.066666666833</v>
      </c>
      <c r="AB199" s="286">
        <f>IF(O199&gt;0,0,AA199+V199*Z199)*Z199</f>
        <v>22048</v>
      </c>
      <c r="AC199" s="286">
        <f>IF(O199&gt;0,(N199-AA199)/2,IF(AD199&gt;=AG199,(((N199*U199)*Z199)-AB199)/2,((((N199*U199)*Z199)-AA199)+(((N199*U199)*Z199)-AB199))/2))</f>
        <v>367.46666666658348</v>
      </c>
      <c r="AD199" s="286">
        <f>$E199+(($F199-1)/12)</f>
        <v>2007.3333333333333</v>
      </c>
      <c r="AE199" s="286">
        <f>($P$5+1)-($P$2/12)</f>
        <v>2018</v>
      </c>
      <c r="AF199" s="286">
        <f>$K199+(($F199-1)/12)</f>
        <v>2017.3333333333333</v>
      </c>
      <c r="AG199" s="286">
        <f>$P$4+($P$3/12)</f>
        <v>2017</v>
      </c>
      <c r="AH199" s="286">
        <f>$L199+(($M199-1)/12)</f>
        <v>-8.3333333333333329E-2</v>
      </c>
      <c r="AJ199" s="11">
        <f t="shared" si="438"/>
        <v>0</v>
      </c>
      <c r="AL199" s="11">
        <f t="shared" si="439"/>
        <v>734.93333333316627</v>
      </c>
      <c r="AN199" s="11">
        <f t="shared" si="440"/>
        <v>0</v>
      </c>
      <c r="AP199" s="11">
        <f t="shared" si="441"/>
        <v>0</v>
      </c>
      <c r="AR199" s="11">
        <f t="shared" si="442"/>
        <v>367.46666666658348</v>
      </c>
    </row>
    <row r="200" spans="3:44">
      <c r="C200" s="282">
        <v>26</v>
      </c>
      <c r="D200" s="306" t="s">
        <v>161</v>
      </c>
      <c r="E200" s="282">
        <v>2007</v>
      </c>
      <c r="F200" s="284">
        <v>5</v>
      </c>
      <c r="G200" s="307">
        <v>0</v>
      </c>
      <c r="H200" s="286"/>
      <c r="I200" s="308" t="s">
        <v>86</v>
      </c>
      <c r="J200" s="284">
        <v>10</v>
      </c>
      <c r="K200" s="309">
        <f>E200+J200</f>
        <v>2017</v>
      </c>
      <c r="N200" s="285">
        <v>10348</v>
      </c>
      <c r="P200" s="286">
        <f>N200-N200*G200</f>
        <v>10348</v>
      </c>
      <c r="Q200" s="286">
        <f>P200/J200/12</f>
        <v>86.233333333333334</v>
      </c>
      <c r="R200" s="286">
        <f>IF(O200&gt;0,0,IF(OR(AD200&gt;AE200,AF200&lt;AG200),0,IF(AND(AF200&gt;=AG200,AF200&lt;=AE200),Q200*((AF200-AG200)*12),IF(AND(AG200&lt;=AD200,AE200&gt;=AD200),((AE200-AD200)*12)*Q200,IF(AF200&gt;AE200,12*Q200,0)))))</f>
        <v>344.93333333325489</v>
      </c>
      <c r="T200" s="286">
        <f>IF(S200&gt;0,S200,R200)</f>
        <v>344.93333333325489</v>
      </c>
      <c r="U200" s="286">
        <v>1</v>
      </c>
      <c r="V200" s="286">
        <f>U200*SUM(R200:S200)</f>
        <v>344.93333333325489</v>
      </c>
      <c r="W200" s="286"/>
      <c r="X200" s="286">
        <f>IF(AD200&gt;AE200,0,IF(AF200&lt;AG200,P200,IF(AND(AF200&gt;=AG200,AF200&lt;=AE200),(P200-T200),IF(AND(AG200&lt;=AD200,AE200&gt;=AD200),0,IF(AF200&gt;AE200,((AG200-AD200)*12)*Q200,0)))))</f>
        <v>10003.066666666746</v>
      </c>
      <c r="Y200" s="286">
        <f>X200*U200</f>
        <v>10003.066666666746</v>
      </c>
      <c r="Z200" s="286">
        <v>1</v>
      </c>
      <c r="AA200" s="286">
        <f>Y200*Z200</f>
        <v>10003.066666666746</v>
      </c>
      <c r="AB200" s="286">
        <f>IF(O200&gt;0,0,AA200+V200*Z200)*Z200</f>
        <v>10348</v>
      </c>
      <c r="AC200" s="286">
        <f>IF(O200&gt;0,(N200-AA200)/2,IF(AD200&gt;=AG200,(((N200*U200)*Z200)-AB200)/2,((((N200*U200)*Z200)-AA200)+(((N200*U200)*Z200)-AB200))/2))</f>
        <v>172.46666666662713</v>
      </c>
      <c r="AD200" s="286">
        <f>$E200+(($F200-1)/12)</f>
        <v>2007.3333333333333</v>
      </c>
      <c r="AE200" s="286">
        <f>($P$5+1)-($P$2/12)</f>
        <v>2018</v>
      </c>
      <c r="AF200" s="286">
        <f>$K200+(($F200-1)/12)</f>
        <v>2017.3333333333333</v>
      </c>
      <c r="AG200" s="286">
        <f>$P$4+($P$3/12)</f>
        <v>2017</v>
      </c>
      <c r="AH200" s="286">
        <f>$L200+(($M200-1)/12)</f>
        <v>-8.3333333333333329E-2</v>
      </c>
      <c r="AJ200" s="11">
        <f t="shared" si="438"/>
        <v>0</v>
      </c>
      <c r="AL200" s="11">
        <f t="shared" si="439"/>
        <v>344.93333333325489</v>
      </c>
      <c r="AN200" s="11">
        <f t="shared" si="440"/>
        <v>0</v>
      </c>
      <c r="AP200" s="11">
        <f t="shared" si="441"/>
        <v>0</v>
      </c>
      <c r="AR200" s="11">
        <f t="shared" si="442"/>
        <v>172.46666666662713</v>
      </c>
    </row>
    <row r="201" spans="3:44">
      <c r="C201" s="282">
        <v>25</v>
      </c>
      <c r="D201" s="306" t="s">
        <v>162</v>
      </c>
      <c r="E201" s="282">
        <v>2007</v>
      </c>
      <c r="F201" s="284">
        <v>11</v>
      </c>
      <c r="G201" s="307">
        <v>0</v>
      </c>
      <c r="H201" s="286"/>
      <c r="I201" s="308" t="s">
        <v>86</v>
      </c>
      <c r="J201" s="284">
        <v>10</v>
      </c>
      <c r="K201" s="309">
        <f>E201+J201</f>
        <v>2017</v>
      </c>
      <c r="N201" s="285">
        <f>416*25</f>
        <v>10400</v>
      </c>
      <c r="P201" s="286">
        <f>N201-N201*G201</f>
        <v>10400</v>
      </c>
      <c r="Q201" s="286">
        <f>P201/J201/12</f>
        <v>86.666666666666671</v>
      </c>
      <c r="R201" s="286">
        <f>IF(O201&gt;0,0,IF(OR(AD201&gt;AE201,AF201&lt;AG201),0,IF(AND(AF201&gt;=AG201,AF201&lt;=AE201),Q201*((AF201-AG201)*12),IF(AND(AG201&lt;=AD201,AE201&gt;=AD201),((AE201-AD201)*12)*Q201,IF(AF201&gt;AE201,12*Q201,0)))))</f>
        <v>866.66666666658784</v>
      </c>
      <c r="T201" s="286">
        <f>IF(S201&gt;0,S201,R201)</f>
        <v>866.66666666658784</v>
      </c>
      <c r="U201" s="286">
        <v>1</v>
      </c>
      <c r="V201" s="286">
        <f>U201*SUM(R201:S201)</f>
        <v>866.66666666658784</v>
      </c>
      <c r="W201" s="286"/>
      <c r="X201" s="286">
        <f>IF(AD201&gt;AE201,0,IF(AF201&lt;AG201,P201,IF(AND(AF201&gt;=AG201,AF201&lt;=AE201),(P201-T201),IF(AND(AG201&lt;=AD201,AE201&gt;=AD201),0,IF(AF201&gt;AE201,((AG201-AD201)*12)*Q201,0)))))</f>
        <v>9533.3333333334122</v>
      </c>
      <c r="Y201" s="286">
        <f>X201*U201</f>
        <v>9533.3333333334122</v>
      </c>
      <c r="Z201" s="286">
        <v>1</v>
      </c>
      <c r="AA201" s="286">
        <f>Y201*Z201</f>
        <v>9533.3333333334122</v>
      </c>
      <c r="AB201" s="286">
        <f>IF(O201&gt;0,0,AA201+V201*Z201)*Z201</f>
        <v>10400</v>
      </c>
      <c r="AC201" s="286">
        <f>IF(O201&gt;0,(N201-AA201)/2,IF(AD201&gt;=AG201,(((N201*U201)*Z201)-AB201)/2,((((N201*U201)*Z201)-AA201)+(((N201*U201)*Z201)-AB201))/2))</f>
        <v>433.33333333329392</v>
      </c>
      <c r="AD201" s="286">
        <f>$E201+(($F201-1)/12)</f>
        <v>2007.8333333333333</v>
      </c>
      <c r="AE201" s="286">
        <f>($P$5+1)-($P$2/12)</f>
        <v>2018</v>
      </c>
      <c r="AF201" s="286">
        <f>$K201+(($F201-1)/12)</f>
        <v>2017.8333333333333</v>
      </c>
      <c r="AG201" s="286">
        <f>$P$4+($P$3/12)</f>
        <v>2017</v>
      </c>
      <c r="AH201" s="286">
        <f>$L201+(($M201-1)/12)</f>
        <v>-8.3333333333333329E-2</v>
      </c>
      <c r="AJ201" s="11">
        <f t="shared" si="438"/>
        <v>0</v>
      </c>
      <c r="AL201" s="11">
        <f t="shared" si="439"/>
        <v>866.66666666658784</v>
      </c>
      <c r="AN201" s="11">
        <f t="shared" si="440"/>
        <v>0</v>
      </c>
      <c r="AP201" s="11">
        <f t="shared" si="441"/>
        <v>0</v>
      </c>
      <c r="AR201" s="11">
        <f t="shared" si="442"/>
        <v>433.33333333329392</v>
      </c>
    </row>
    <row r="202" spans="3:44">
      <c r="C202" s="282">
        <v>7</v>
      </c>
      <c r="D202" s="306" t="s">
        <v>163</v>
      </c>
      <c r="E202" s="282">
        <v>2007</v>
      </c>
      <c r="F202" s="284">
        <v>11</v>
      </c>
      <c r="G202" s="307">
        <v>0</v>
      </c>
      <c r="H202" s="286"/>
      <c r="I202" s="308" t="s">
        <v>86</v>
      </c>
      <c r="J202" s="284">
        <v>10</v>
      </c>
      <c r="K202" s="309">
        <f>E202+J202</f>
        <v>2017</v>
      </c>
      <c r="N202" s="285">
        <f>398*7</f>
        <v>2786</v>
      </c>
      <c r="P202" s="286">
        <f>N202-N202*G202</f>
        <v>2786</v>
      </c>
      <c r="Q202" s="286">
        <f>P202/J202/12</f>
        <v>23.216666666666669</v>
      </c>
      <c r="R202" s="286">
        <f>IF(O202&gt;0,0,IF(OR(AD202&gt;AE202,AF202&lt;AG202),0,IF(AND(AF202&gt;=AG202,AF202&lt;=AE202),Q202*((AF202-AG202)*12),IF(AND(AG202&lt;=AD202,AE202&gt;=AD202),((AE202-AD202)*12)*Q202,IF(AF202&gt;AE202,12*Q202,0)))))</f>
        <v>232.16666666664557</v>
      </c>
      <c r="T202" s="286">
        <f>IF(S202&gt;0,S202,R202)</f>
        <v>232.16666666664557</v>
      </c>
      <c r="U202" s="286">
        <v>1</v>
      </c>
      <c r="V202" s="286">
        <f>U202*SUM(R202:S202)</f>
        <v>232.16666666664557</v>
      </c>
      <c r="W202" s="286"/>
      <c r="X202" s="286">
        <f>IF(AD202&gt;AE202,0,IF(AF202&lt;AG202,P202,IF(AND(AF202&gt;=AG202,AF202&lt;=AE202),(P202-T202),IF(AND(AG202&lt;=AD202,AE202&gt;=AD202),0,IF(AF202&gt;AE202,((AG202-AD202)*12)*Q202,0)))))</f>
        <v>2553.8333333333544</v>
      </c>
      <c r="Y202" s="286">
        <f>X202*U202</f>
        <v>2553.8333333333544</v>
      </c>
      <c r="Z202" s="286">
        <v>1</v>
      </c>
      <c r="AA202" s="286">
        <f>Y202*Z202</f>
        <v>2553.8333333333544</v>
      </c>
      <c r="AB202" s="286">
        <f>IF(O202&gt;0,0,AA202+V202*Z202)*Z202</f>
        <v>2786</v>
      </c>
      <c r="AC202" s="286">
        <f>IF(O202&gt;0,(N202-AA202)/2,IF(AD202&gt;=AG202,(((N202*U202)*Z202)-AB202)/2,((((N202*U202)*Z202)-AA202)+(((N202*U202)*Z202)-AB202))/2))</f>
        <v>116.0833333333228</v>
      </c>
      <c r="AD202" s="286">
        <f>$E202+(($F202-1)/12)</f>
        <v>2007.8333333333333</v>
      </c>
      <c r="AE202" s="286">
        <f>($P$5+1)-($P$2/12)</f>
        <v>2018</v>
      </c>
      <c r="AF202" s="286">
        <f>$K202+(($F202-1)/12)</f>
        <v>2017.8333333333333</v>
      </c>
      <c r="AG202" s="286">
        <f>$P$4+($P$3/12)</f>
        <v>2017</v>
      </c>
      <c r="AH202" s="286">
        <f>$L202+(($M202-1)/12)</f>
        <v>-8.3333333333333329E-2</v>
      </c>
      <c r="AJ202" s="11">
        <f t="shared" si="438"/>
        <v>0</v>
      </c>
      <c r="AL202" s="11">
        <f t="shared" si="439"/>
        <v>232.16666666664557</v>
      </c>
      <c r="AN202" s="11">
        <f t="shared" si="440"/>
        <v>0</v>
      </c>
      <c r="AP202" s="11">
        <f t="shared" si="441"/>
        <v>0</v>
      </c>
      <c r="AR202" s="11">
        <f t="shared" si="442"/>
        <v>116.0833333333228</v>
      </c>
    </row>
    <row r="203" spans="3:44">
      <c r="D203" s="306"/>
      <c r="G203" s="307"/>
      <c r="H203" s="286"/>
      <c r="I203" s="308"/>
      <c r="K203" s="309"/>
      <c r="P203" s="286"/>
      <c r="Q203" s="286"/>
      <c r="R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J203" s="11">
        <f t="shared" si="438"/>
        <v>0</v>
      </c>
      <c r="AL203" s="11">
        <f t="shared" si="439"/>
        <v>0</v>
      </c>
      <c r="AN203" s="11">
        <f t="shared" si="440"/>
        <v>0</v>
      </c>
      <c r="AP203" s="11">
        <f t="shared" si="441"/>
        <v>0</v>
      </c>
      <c r="AR203" s="11">
        <f t="shared" si="442"/>
        <v>0</v>
      </c>
    </row>
    <row r="204" spans="3:44">
      <c r="C204" s="282">
        <v>11</v>
      </c>
      <c r="D204" s="306" t="s">
        <v>164</v>
      </c>
      <c r="E204" s="282">
        <v>2008</v>
      </c>
      <c r="F204" s="284">
        <v>9</v>
      </c>
      <c r="G204" s="307">
        <v>0</v>
      </c>
      <c r="H204" s="286"/>
      <c r="I204" s="308" t="s">
        <v>86</v>
      </c>
      <c r="J204" s="284">
        <v>10</v>
      </c>
      <c r="K204" s="309">
        <f>E204+J204</f>
        <v>2018</v>
      </c>
      <c r="N204" s="285">
        <f>479*11+859</f>
        <v>6128</v>
      </c>
      <c r="P204" s="286">
        <f>N204-N204*G204</f>
        <v>6128</v>
      </c>
      <c r="Q204" s="286">
        <f>P204/J204/12</f>
        <v>51.066666666666663</v>
      </c>
      <c r="R204" s="286">
        <f>IF(O204&gt;0,0,IF(OR(AD204&gt;AE204,AF204&lt;AG204),0,IF(AND(AF204&gt;=AG204,AF204&lt;=AE204),Q204*((AF204-AG204)*12),IF(AND(AG204&lt;=AD204,AE204&gt;=AD204),((AE204-AD204)*12)*Q204,IF(AF204&gt;AE204,12*Q204,0)))))</f>
        <v>612.79999999999995</v>
      </c>
      <c r="T204" s="286">
        <f>IF(S204&gt;0,S204,R204)</f>
        <v>612.79999999999995</v>
      </c>
      <c r="U204" s="286">
        <v>1</v>
      </c>
      <c r="V204" s="286">
        <f>U204*SUM(R204:S204)</f>
        <v>612.79999999999995</v>
      </c>
      <c r="W204" s="286"/>
      <c r="X204" s="286">
        <f>IF(AD204&gt;AE204,0,IF(AF204&lt;AG204,P204,IF(AND(AF204&gt;=AG204,AF204&lt;=AE204),(P204-T204),IF(AND(AG204&lt;=AD204,AE204&gt;=AD204),0,IF(AF204&gt;AE204,((AG204-AD204)*12)*Q204,0)))))</f>
        <v>5106.6666666666197</v>
      </c>
      <c r="Y204" s="286">
        <f>X204*U204</f>
        <v>5106.6666666666197</v>
      </c>
      <c r="Z204" s="286">
        <v>1</v>
      </c>
      <c r="AA204" s="286">
        <f>Y204*Z204</f>
        <v>5106.6666666666197</v>
      </c>
      <c r="AB204" s="286">
        <f>IF(O204&gt;0,0,AA204+V204*Z204)*Z204</f>
        <v>5719.4666666666199</v>
      </c>
      <c r="AC204" s="286">
        <f>IF(O204&gt;0,(N204-AA204)/2,IF(AD204&gt;=AG204,(((N204*U204)*Z204)-AB204)/2,((((N204*U204)*Z204)-AA204)+(((N204*U204)*Z204)-AB204))/2))</f>
        <v>714.93333333338023</v>
      </c>
      <c r="AD204" s="286">
        <f>$E204+(($F204-1)/12)</f>
        <v>2008.6666666666667</v>
      </c>
      <c r="AE204" s="286">
        <f>($P$5+1)-($P$2/12)</f>
        <v>2018</v>
      </c>
      <c r="AF204" s="286">
        <f>$K204+(($F204-1)/12)</f>
        <v>2018.6666666666667</v>
      </c>
      <c r="AG204" s="286">
        <f>$P$4+($P$3/12)</f>
        <v>2017</v>
      </c>
      <c r="AH204" s="286">
        <f>$L204+(($M204-1)/12)</f>
        <v>-8.3333333333333329E-2</v>
      </c>
      <c r="AJ204" s="11">
        <f t="shared" si="438"/>
        <v>0</v>
      </c>
      <c r="AL204" s="11">
        <f t="shared" si="439"/>
        <v>612.79999999999995</v>
      </c>
      <c r="AN204" s="11">
        <f t="shared" si="440"/>
        <v>0</v>
      </c>
      <c r="AP204" s="11">
        <f t="shared" si="441"/>
        <v>0</v>
      </c>
      <c r="AR204" s="11">
        <f t="shared" si="442"/>
        <v>714.93333333338023</v>
      </c>
    </row>
    <row r="205" spans="3:44">
      <c r="C205" s="282">
        <v>21</v>
      </c>
      <c r="D205" s="306" t="s">
        <v>165</v>
      </c>
      <c r="E205" s="282">
        <v>2008</v>
      </c>
      <c r="F205" s="284">
        <v>9</v>
      </c>
      <c r="G205" s="307">
        <v>0</v>
      </c>
      <c r="H205" s="286"/>
      <c r="I205" s="308" t="s">
        <v>86</v>
      </c>
      <c r="J205" s="284">
        <v>10</v>
      </c>
      <c r="K205" s="309">
        <f>E205+J205</f>
        <v>2018</v>
      </c>
      <c r="N205" s="285">
        <f>499*21+1341</f>
        <v>11820</v>
      </c>
      <c r="P205" s="286">
        <f>N205-N205*G205</f>
        <v>11820</v>
      </c>
      <c r="Q205" s="286">
        <f>P205/J205/12</f>
        <v>98.5</v>
      </c>
      <c r="R205" s="286">
        <f>IF(O205&gt;0,0,IF(OR(AD205&gt;AE205,AF205&lt;AG205),0,IF(AND(AF205&gt;=AG205,AF205&lt;=AE205),Q205*((AF205-AG205)*12),IF(AND(AG205&lt;=AD205,AE205&gt;=AD205),((AE205-AD205)*12)*Q205,IF(AF205&gt;AE205,12*Q205,0)))))</f>
        <v>1182</v>
      </c>
      <c r="T205" s="286">
        <f>IF(S205&gt;0,S205,R205)</f>
        <v>1182</v>
      </c>
      <c r="U205" s="286">
        <v>1</v>
      </c>
      <c r="V205" s="286">
        <f>U205*SUM(R205:S205)</f>
        <v>1182</v>
      </c>
      <c r="W205" s="286"/>
      <c r="X205" s="286">
        <f>IF(AD205&gt;AE205,0,IF(AF205&lt;AG205,P205,IF(AND(AF205&gt;=AG205,AF205&lt;=AE205),(P205-T205),IF(AND(AG205&lt;=AD205,AE205&gt;=AD205),0,IF(AF205&gt;AE205,((AG205-AD205)*12)*Q205,0)))))</f>
        <v>9849.9999999999109</v>
      </c>
      <c r="Y205" s="286">
        <f>X205*U205</f>
        <v>9849.9999999999109</v>
      </c>
      <c r="Z205" s="286">
        <v>1</v>
      </c>
      <c r="AA205" s="286">
        <f>Y205*Z205</f>
        <v>9849.9999999999109</v>
      </c>
      <c r="AB205" s="286">
        <f>IF(O205&gt;0,0,AA205+V205*Z205)*Z205</f>
        <v>11031.999999999911</v>
      </c>
      <c r="AC205" s="286">
        <f>IF(O205&gt;0,(N205-AA205)/2,IF(AD205&gt;=AG205,(((N205*U205)*Z205)-AB205)/2,((((N205*U205)*Z205)-AA205)+(((N205*U205)*Z205)-AB205))/2))</f>
        <v>1379.0000000000891</v>
      </c>
      <c r="AD205" s="286">
        <f>$E205+(($F205-1)/12)</f>
        <v>2008.6666666666667</v>
      </c>
      <c r="AE205" s="286">
        <f>($P$5+1)-($P$2/12)</f>
        <v>2018</v>
      </c>
      <c r="AF205" s="286">
        <f>$K205+(($F205-1)/12)</f>
        <v>2018.6666666666667</v>
      </c>
      <c r="AG205" s="286">
        <f>$P$4+($P$3/12)</f>
        <v>2017</v>
      </c>
      <c r="AH205" s="286">
        <f>$L205+(($M205-1)/12)</f>
        <v>-8.3333333333333329E-2</v>
      </c>
      <c r="AJ205" s="11">
        <f t="shared" si="438"/>
        <v>0</v>
      </c>
      <c r="AL205" s="11">
        <f t="shared" si="439"/>
        <v>1182</v>
      </c>
      <c r="AN205" s="11">
        <f t="shared" si="440"/>
        <v>0</v>
      </c>
      <c r="AP205" s="11">
        <f t="shared" si="441"/>
        <v>0</v>
      </c>
      <c r="AR205" s="11">
        <f t="shared" si="442"/>
        <v>1379.0000000000891</v>
      </c>
    </row>
    <row r="206" spans="3:44">
      <c r="D206" s="306"/>
      <c r="G206" s="307"/>
      <c r="H206" s="286"/>
      <c r="I206" s="308"/>
      <c r="K206" s="309"/>
      <c r="P206" s="286"/>
      <c r="Q206" s="286"/>
      <c r="R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J206" s="11">
        <f t="shared" si="438"/>
        <v>0</v>
      </c>
      <c r="AL206" s="11">
        <f t="shared" si="439"/>
        <v>0</v>
      </c>
      <c r="AN206" s="11">
        <f t="shared" si="440"/>
        <v>0</v>
      </c>
      <c r="AP206" s="11">
        <f t="shared" si="441"/>
        <v>0</v>
      </c>
      <c r="AR206" s="11">
        <f t="shared" si="442"/>
        <v>0</v>
      </c>
    </row>
    <row r="207" spans="3:44">
      <c r="C207" s="282">
        <v>3</v>
      </c>
      <c r="D207" s="306" t="s">
        <v>166</v>
      </c>
      <c r="E207" s="282">
        <v>2010</v>
      </c>
      <c r="F207" s="284">
        <v>5</v>
      </c>
      <c r="G207" s="307">
        <v>0</v>
      </c>
      <c r="H207" s="286"/>
      <c r="I207" s="308" t="s">
        <v>86</v>
      </c>
      <c r="J207" s="284">
        <v>10</v>
      </c>
      <c r="K207" s="309">
        <f>E207+J207</f>
        <v>2020</v>
      </c>
      <c r="N207" s="285">
        <v>1566.38</v>
      </c>
      <c r="P207" s="286">
        <f>N207-N207*G207</f>
        <v>1566.38</v>
      </c>
      <c r="Q207" s="286">
        <f>P207/J207/12</f>
        <v>13.053166666666668</v>
      </c>
      <c r="R207" s="286">
        <f>IF(O207&gt;0,0,IF(OR(AD207&gt;AE207,AF207&lt;AG207),0,IF(AND(AF207&gt;=AG207,AF207&lt;=AE207),Q207*((AF207-AG207)*12),IF(AND(AG207&lt;=AD207,AE207&gt;=AD207),((AE207-AD207)*12)*Q207,IF(AF207&gt;AE207,12*Q207,0)))))</f>
        <v>156.63800000000001</v>
      </c>
      <c r="T207" s="286">
        <f>IF(S207&gt;0,S207,R207)</f>
        <v>156.63800000000001</v>
      </c>
      <c r="U207" s="286">
        <v>1</v>
      </c>
      <c r="V207" s="286">
        <f>U207*SUM(R207:S207)</f>
        <v>156.63800000000001</v>
      </c>
      <c r="W207" s="286"/>
      <c r="X207" s="286">
        <f>IF(AD207&gt;AE207,0,IF(AF207&lt;AG207,P207,IF(AND(AF207&gt;=AG207,AF207&lt;=AE207),(P207-T207),IF(AND(AG207&lt;=AD207,AE207&gt;=AD207),0,IF(AF207&gt;AE207,((AG207-AD207)*12)*Q207,0)))))</f>
        <v>1044.2533333333454</v>
      </c>
      <c r="Y207" s="286">
        <f>X207*U207</f>
        <v>1044.2533333333454</v>
      </c>
      <c r="Z207" s="286">
        <v>1</v>
      </c>
      <c r="AA207" s="286">
        <f>Y207*Z207</f>
        <v>1044.2533333333454</v>
      </c>
      <c r="AB207" s="286">
        <f>IF(O207&gt;0,0,AA207+V207*Z207)*Z207</f>
        <v>1200.8913333333453</v>
      </c>
      <c r="AC207" s="286">
        <f>IF(O207&gt;0,(N207-AA207)/2,IF(AD207&gt;=AG207,(((N207*U207)*Z207)-AB207)/2,((((N207*U207)*Z207)-AA207)+(((N207*U207)*Z207)-AB207))/2))</f>
        <v>443.80766666665477</v>
      </c>
      <c r="AD207" s="286">
        <f>$E207+(($F207-1)/12)</f>
        <v>2010.3333333333333</v>
      </c>
      <c r="AE207" s="286">
        <f>($P$5+1)-($P$2/12)</f>
        <v>2018</v>
      </c>
      <c r="AF207" s="286">
        <f>$K207+(($F207-1)/12)</f>
        <v>2020.3333333333333</v>
      </c>
      <c r="AG207" s="286">
        <f>$P$4+($P$3/12)</f>
        <v>2017</v>
      </c>
      <c r="AH207" s="286">
        <f>$L207+(($M207-1)/12)</f>
        <v>-8.3333333333333329E-2</v>
      </c>
      <c r="AJ207" s="11">
        <f t="shared" si="438"/>
        <v>0</v>
      </c>
      <c r="AL207" s="11">
        <f t="shared" si="439"/>
        <v>156.63800000000001</v>
      </c>
      <c r="AN207" s="11">
        <f t="shared" si="440"/>
        <v>0</v>
      </c>
      <c r="AP207" s="11">
        <f t="shared" si="441"/>
        <v>0</v>
      </c>
      <c r="AR207" s="11">
        <f t="shared" si="442"/>
        <v>443.80766666665477</v>
      </c>
    </row>
    <row r="208" spans="3:44">
      <c r="C208" s="282">
        <v>32</v>
      </c>
      <c r="D208" s="306" t="s">
        <v>167</v>
      </c>
      <c r="E208" s="282">
        <v>2010</v>
      </c>
      <c r="F208" s="284">
        <v>5</v>
      </c>
      <c r="G208" s="307">
        <v>0</v>
      </c>
      <c r="H208" s="286"/>
      <c r="I208" s="308" t="s">
        <v>86</v>
      </c>
      <c r="J208" s="284">
        <v>10</v>
      </c>
      <c r="K208" s="309">
        <f>E208+J208</f>
        <v>2020</v>
      </c>
      <c r="N208" s="285">
        <v>15312.58</v>
      </c>
      <c r="P208" s="286">
        <f>N208-N208*G208</f>
        <v>15312.58</v>
      </c>
      <c r="Q208" s="286">
        <f>P208/J208/12</f>
        <v>127.60483333333333</v>
      </c>
      <c r="R208" s="286">
        <f>IF(O208&gt;0,0,IF(OR(AD208&gt;AE208,AF208&lt;AG208),0,IF(AND(AF208&gt;=AG208,AF208&lt;=AE208),Q208*((AF208-AG208)*12),IF(AND(AG208&lt;=AD208,AE208&gt;=AD208),((AE208-AD208)*12)*Q208,IF(AF208&gt;AE208,12*Q208,0)))))</f>
        <v>1531.258</v>
      </c>
      <c r="T208" s="286">
        <f>IF(S208&gt;0,S208,R208)</f>
        <v>1531.258</v>
      </c>
      <c r="U208" s="286">
        <v>1</v>
      </c>
      <c r="V208" s="286">
        <f>U208*SUM(R208:S208)</f>
        <v>1531.258</v>
      </c>
      <c r="W208" s="286"/>
      <c r="X208" s="286">
        <f>IF(AD208&gt;AE208,0,IF(AF208&lt;AG208,P208,IF(AND(AF208&gt;=AG208,AF208&lt;=AE208),(P208-T208),IF(AND(AG208&lt;=AD208,AE208&gt;=AD208),0,IF(AF208&gt;AE208,((AG208-AD208)*12)*Q208,0)))))</f>
        <v>10208.386666666782</v>
      </c>
      <c r="Y208" s="286">
        <f>X208*U208</f>
        <v>10208.386666666782</v>
      </c>
      <c r="Z208" s="286">
        <v>1</v>
      </c>
      <c r="AA208" s="286">
        <f>Y208*Z208</f>
        <v>10208.386666666782</v>
      </c>
      <c r="AB208" s="286">
        <f>IF(O208&gt;0,0,AA208+V208*Z208)*Z208</f>
        <v>11739.644666666782</v>
      </c>
      <c r="AC208" s="286">
        <f>IF(O208&gt;0,(N208-AA208)/2,IF(AD208&gt;=AG208,(((N208*U208)*Z208)-AB208)/2,((((N208*U208)*Z208)-AA208)+(((N208*U208)*Z208)-AB208))/2))</f>
        <v>4338.5643333332182</v>
      </c>
      <c r="AD208" s="286">
        <f>$E208+(($F208-1)/12)</f>
        <v>2010.3333333333333</v>
      </c>
      <c r="AE208" s="286">
        <f>($P$5+1)-($P$2/12)</f>
        <v>2018</v>
      </c>
      <c r="AF208" s="286">
        <f>$K208+(($F208-1)/12)</f>
        <v>2020.3333333333333</v>
      </c>
      <c r="AG208" s="286">
        <f>$P$4+($P$3/12)</f>
        <v>2017</v>
      </c>
      <c r="AH208" s="286">
        <f>$L208+(($M208-1)/12)</f>
        <v>-8.3333333333333329E-2</v>
      </c>
      <c r="AJ208" s="11">
        <f t="shared" si="438"/>
        <v>0</v>
      </c>
      <c r="AL208" s="11">
        <f t="shared" si="439"/>
        <v>1531.258</v>
      </c>
      <c r="AN208" s="11">
        <f t="shared" si="440"/>
        <v>0</v>
      </c>
      <c r="AP208" s="11">
        <f t="shared" si="441"/>
        <v>0</v>
      </c>
      <c r="AR208" s="11">
        <f t="shared" si="442"/>
        <v>4338.5643333332182</v>
      </c>
    </row>
    <row r="209" spans="1:44">
      <c r="C209" s="282">
        <v>6</v>
      </c>
      <c r="D209" s="306" t="s">
        <v>168</v>
      </c>
      <c r="E209" s="282">
        <v>2010</v>
      </c>
      <c r="F209" s="284">
        <v>5</v>
      </c>
      <c r="G209" s="307">
        <v>0</v>
      </c>
      <c r="H209" s="286"/>
      <c r="I209" s="308" t="s">
        <v>86</v>
      </c>
      <c r="J209" s="284">
        <v>10</v>
      </c>
      <c r="K209" s="309">
        <f>E209+J209</f>
        <v>2020</v>
      </c>
      <c r="N209" s="285">
        <v>2610</v>
      </c>
      <c r="P209" s="286">
        <f>N209-N209*G209</f>
        <v>2610</v>
      </c>
      <c r="Q209" s="286">
        <f>P209/J209/12</f>
        <v>21.75</v>
      </c>
      <c r="R209" s="286">
        <f>IF(O209&gt;0,0,IF(OR(AD209&gt;AE209,AF209&lt;AG209),0,IF(AND(AF209&gt;=AG209,AF209&lt;=AE209),Q209*((AF209-AG209)*12),IF(AND(AG209&lt;=AD209,AE209&gt;=AD209),((AE209-AD209)*12)*Q209,IF(AF209&gt;AE209,12*Q209,0)))))</f>
        <v>261</v>
      </c>
      <c r="T209" s="286">
        <f>IF(S209&gt;0,S209,R209)</f>
        <v>261</v>
      </c>
      <c r="U209" s="286">
        <v>1</v>
      </c>
      <c r="V209" s="286">
        <f>U209*SUM(R209:S209)</f>
        <v>261</v>
      </c>
      <c r="W209" s="286"/>
      <c r="X209" s="286">
        <f>IF(AD209&gt;AE209,0,IF(AF209&lt;AG209,P209,IF(AND(AF209&gt;=AG209,AF209&lt;=AE209),(P209-T209),IF(AND(AG209&lt;=AD209,AE209&gt;=AD209),0,IF(AF209&gt;AE209,((AG209-AD209)*12)*Q209,0)))))</f>
        <v>1740.0000000000198</v>
      </c>
      <c r="Y209" s="286">
        <f>X209*U209</f>
        <v>1740.0000000000198</v>
      </c>
      <c r="Z209" s="286">
        <v>1</v>
      </c>
      <c r="AA209" s="286">
        <f>Y209*Z209</f>
        <v>1740.0000000000198</v>
      </c>
      <c r="AB209" s="286">
        <f>IF(O209&gt;0,0,AA209+V209*Z209)*Z209</f>
        <v>2001.0000000000198</v>
      </c>
      <c r="AC209" s="286">
        <f>IF(O209&gt;0,(N209-AA209)/2,IF(AD209&gt;=AG209,(((N209*U209)*Z209)-AB209)/2,((((N209*U209)*Z209)-AA209)+(((N209*U209)*Z209)-AB209))/2))</f>
        <v>739.49999999998022</v>
      </c>
      <c r="AD209" s="286">
        <f>$E209+(($F209-1)/12)</f>
        <v>2010.3333333333333</v>
      </c>
      <c r="AE209" s="286">
        <f>($P$5+1)-($P$2/12)</f>
        <v>2018</v>
      </c>
      <c r="AF209" s="286">
        <f>$K209+(($F209-1)/12)</f>
        <v>2020.3333333333333</v>
      </c>
      <c r="AG209" s="286">
        <f>$P$4+($P$3/12)</f>
        <v>2017</v>
      </c>
      <c r="AH209" s="286">
        <f>$L209+(($M209-1)/12)</f>
        <v>-8.3333333333333329E-2</v>
      </c>
      <c r="AJ209" s="11">
        <f t="shared" si="438"/>
        <v>0</v>
      </c>
      <c r="AL209" s="11">
        <f t="shared" si="439"/>
        <v>261</v>
      </c>
      <c r="AN209" s="11">
        <f t="shared" si="440"/>
        <v>0</v>
      </c>
      <c r="AP209" s="11">
        <f t="shared" si="441"/>
        <v>0</v>
      </c>
      <c r="AR209" s="11">
        <f t="shared" si="442"/>
        <v>739.49999999998022</v>
      </c>
    </row>
    <row r="210" spans="1:44">
      <c r="D210" s="306"/>
      <c r="G210" s="307"/>
      <c r="H210" s="286"/>
      <c r="I210" s="308"/>
      <c r="K210" s="309"/>
      <c r="P210" s="286"/>
      <c r="Q210" s="286"/>
      <c r="R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J210" s="11">
        <f t="shared" si="438"/>
        <v>0</v>
      </c>
      <c r="AL210" s="11">
        <f t="shared" si="439"/>
        <v>0</v>
      </c>
      <c r="AN210" s="11">
        <f t="shared" si="440"/>
        <v>0</v>
      </c>
      <c r="AP210" s="11">
        <f t="shared" si="441"/>
        <v>0</v>
      </c>
      <c r="AR210" s="11">
        <f t="shared" si="442"/>
        <v>0</v>
      </c>
    </row>
    <row r="211" spans="1:44">
      <c r="C211" s="282">
        <v>12</v>
      </c>
      <c r="D211" s="306" t="s">
        <v>169</v>
      </c>
      <c r="E211" s="282">
        <v>2011</v>
      </c>
      <c r="F211" s="284">
        <v>5</v>
      </c>
      <c r="G211" s="307">
        <v>0</v>
      </c>
      <c r="H211" s="286"/>
      <c r="I211" s="308" t="s">
        <v>86</v>
      </c>
      <c r="J211" s="284">
        <v>7</v>
      </c>
      <c r="K211" s="309">
        <f>E211+J211</f>
        <v>2018</v>
      </c>
      <c r="N211" s="285">
        <f>32650.3/351*12</f>
        <v>1116.2495726495727</v>
      </c>
      <c r="P211" s="286">
        <f>N211-N211*G211</f>
        <v>1116.2495726495727</v>
      </c>
      <c r="Q211" s="286">
        <f>P211/J211/12</f>
        <v>13.288685388685389</v>
      </c>
      <c r="R211" s="286">
        <f>IF(O211&gt;0,0,IF(OR(AD211&gt;AE211,AF211&lt;AG211),0,IF(AND(AF211&gt;=AG211,AF211&lt;=AE211),Q211*((AF211-AG211)*12),IF(AND(AG211&lt;=AD211,AE211&gt;=AD211),((AE211-AD211)*12)*Q211,IF(AF211&gt;AE211,12*Q211,0)))))</f>
        <v>159.46422466422467</v>
      </c>
      <c r="T211" s="286">
        <f>IF(S211&gt;0,S211,R211)</f>
        <v>159.46422466422467</v>
      </c>
      <c r="U211" s="286">
        <v>1</v>
      </c>
      <c r="V211" s="286">
        <f>U211*SUM(R211:S211)</f>
        <v>159.46422466422467</v>
      </c>
      <c r="W211" s="286"/>
      <c r="X211" s="286">
        <f>IF(AD211&gt;AE211,0,IF(AF211&lt;AG211,P211,IF(AND(AF211&gt;=AG211,AF211&lt;=AE211),(P211-T211),IF(AND(AG211&lt;=AD211,AE211&gt;=AD211),0,IF(AF211&gt;AE211,((AG211-AD211)*12)*Q211,0)))))</f>
        <v>903.63060643061851</v>
      </c>
      <c r="Y211" s="286">
        <f>X211*U211</f>
        <v>903.63060643061851</v>
      </c>
      <c r="Z211" s="286">
        <v>1</v>
      </c>
      <c r="AA211" s="286">
        <f>Y211*Z211</f>
        <v>903.63060643061851</v>
      </c>
      <c r="AB211" s="286">
        <f>IF(O211&gt;0,0,AA211+V211*Z211)*Z211</f>
        <v>1063.0948310948431</v>
      </c>
      <c r="AC211" s="286">
        <f>IF(O211&gt;0,(N211-AA211)/2,IF(AD211&gt;=AG211,(((N211*U211)*Z211)-AB211)/2,((((N211*U211)*Z211)-AA211)+(((N211*U211)*Z211)-AB211))/2))</f>
        <v>132.88685388684183</v>
      </c>
      <c r="AD211" s="286">
        <f>$E211+(($F211-1)/12)</f>
        <v>2011.3333333333333</v>
      </c>
      <c r="AE211" s="286">
        <f>($P$5+1)-($P$2/12)</f>
        <v>2018</v>
      </c>
      <c r="AF211" s="286">
        <f>$K211+(($F211-1)/12)</f>
        <v>2018.3333333333333</v>
      </c>
      <c r="AG211" s="286">
        <f>$P$4+($P$3/12)</f>
        <v>2017</v>
      </c>
      <c r="AH211" s="286">
        <f>$L211+(($M211-1)/12)</f>
        <v>-8.3333333333333329E-2</v>
      </c>
      <c r="AJ211" s="11">
        <f t="shared" si="438"/>
        <v>0</v>
      </c>
      <c r="AL211" s="11">
        <f t="shared" si="439"/>
        <v>159.46422466422467</v>
      </c>
      <c r="AN211" s="11">
        <f t="shared" si="440"/>
        <v>0</v>
      </c>
      <c r="AP211" s="11">
        <f t="shared" si="441"/>
        <v>0</v>
      </c>
      <c r="AR211" s="11">
        <f t="shared" si="442"/>
        <v>132.88685388684183</v>
      </c>
    </row>
    <row r="212" spans="1:44">
      <c r="C212" s="282">
        <v>6</v>
      </c>
      <c r="D212" s="306" t="s">
        <v>170</v>
      </c>
      <c r="E212" s="282">
        <v>2011</v>
      </c>
      <c r="F212" s="284">
        <v>5</v>
      </c>
      <c r="G212" s="307">
        <v>0</v>
      </c>
      <c r="H212" s="286"/>
      <c r="I212" s="308" t="s">
        <v>86</v>
      </c>
      <c r="J212" s="284">
        <v>10</v>
      </c>
      <c r="K212" s="309">
        <f>E212+J212</f>
        <v>2021</v>
      </c>
      <c r="N212" s="285">
        <v>2610</v>
      </c>
      <c r="P212" s="286">
        <f>N212-N212*G212</f>
        <v>2610</v>
      </c>
      <c r="Q212" s="286">
        <f>P212/J212/12</f>
        <v>21.75</v>
      </c>
      <c r="R212" s="286">
        <f>IF(O212&gt;0,0,IF(OR(AD212&gt;AE212,AF212&lt;AG212),0,IF(AND(AF212&gt;=AG212,AF212&lt;=AE212),Q212*((AF212-AG212)*12),IF(AND(AG212&lt;=AD212,AE212&gt;=AD212),((AE212-AD212)*12)*Q212,IF(AF212&gt;AE212,12*Q212,0)))))</f>
        <v>261</v>
      </c>
      <c r="T212" s="286">
        <f>IF(S212&gt;0,S212,R212)</f>
        <v>261</v>
      </c>
      <c r="U212" s="286">
        <v>1</v>
      </c>
      <c r="V212" s="286">
        <f>U212*SUM(R212:S212)</f>
        <v>261</v>
      </c>
      <c r="W212" s="286"/>
      <c r="X212" s="286">
        <f>IF(AD212&gt;AE212,0,IF(AF212&lt;AG212,P212,IF(AND(AF212&gt;=AG212,AF212&lt;=AE212),(P212-T212),IF(AND(AG212&lt;=AD212,AE212&gt;=AD212),0,IF(AF212&gt;AE212,((AG212-AD212)*12)*Q212,0)))))</f>
        <v>1479.0000000000198</v>
      </c>
      <c r="Y212" s="286">
        <f>X212*U212</f>
        <v>1479.0000000000198</v>
      </c>
      <c r="Z212" s="286">
        <v>1</v>
      </c>
      <c r="AA212" s="286">
        <f>Y212*Z212</f>
        <v>1479.0000000000198</v>
      </c>
      <c r="AB212" s="286">
        <f>IF(O212&gt;0,0,AA212+V212*Z212)*Z212</f>
        <v>1740.0000000000198</v>
      </c>
      <c r="AC212" s="286">
        <f>IF(O212&gt;0,(N212-AA212)/2,IF(AD212&gt;=AG212,(((N212*U212)*Z212)-AB212)/2,((((N212*U212)*Z212)-AA212)+(((N212*U212)*Z212)-AB212))/2))</f>
        <v>1000.4999999999802</v>
      </c>
      <c r="AD212" s="286">
        <f>$E212+(($F212-1)/12)</f>
        <v>2011.3333333333333</v>
      </c>
      <c r="AE212" s="286">
        <f>($P$5+1)-($P$2/12)</f>
        <v>2018</v>
      </c>
      <c r="AF212" s="286">
        <f>$K212+(($F212-1)/12)</f>
        <v>2021.3333333333333</v>
      </c>
      <c r="AG212" s="286">
        <f>$P$4+($P$3/12)</f>
        <v>2017</v>
      </c>
      <c r="AH212" s="286">
        <f>$L212+(($M212-1)/12)</f>
        <v>-8.3333333333333329E-2</v>
      </c>
      <c r="AJ212" s="11">
        <f t="shared" si="438"/>
        <v>0</v>
      </c>
      <c r="AL212" s="11">
        <f t="shared" si="439"/>
        <v>261</v>
      </c>
      <c r="AN212" s="11">
        <f t="shared" si="440"/>
        <v>0</v>
      </c>
      <c r="AP212" s="11">
        <f t="shared" si="441"/>
        <v>0</v>
      </c>
      <c r="AR212" s="11">
        <f t="shared" si="442"/>
        <v>1000.4999999999802</v>
      </c>
    </row>
    <row r="213" spans="1:44">
      <c r="C213" s="282">
        <v>66</v>
      </c>
      <c r="D213" s="306" t="s">
        <v>171</v>
      </c>
      <c r="E213" s="282">
        <v>2011</v>
      </c>
      <c r="F213" s="284">
        <v>6</v>
      </c>
      <c r="G213" s="307">
        <v>0</v>
      </c>
      <c r="H213" s="286"/>
      <c r="I213" s="308" t="s">
        <v>86</v>
      </c>
      <c r="J213" s="284">
        <v>10</v>
      </c>
      <c r="K213" s="309">
        <f>E213+J213</f>
        <v>2021</v>
      </c>
      <c r="N213" s="285">
        <v>30588.26</v>
      </c>
      <c r="P213" s="286">
        <f>N213-N213*G213</f>
        <v>30588.26</v>
      </c>
      <c r="Q213" s="286">
        <f>P213/J213/12</f>
        <v>254.90216666666666</v>
      </c>
      <c r="R213" s="286">
        <f>IF(O213&gt;0,0,IF(OR(AD213&gt;AE213,AF213&lt;AG213),0,IF(AND(AF213&gt;=AG213,AF213&lt;=AE213),Q213*((AF213-AG213)*12),IF(AND(AG213&lt;=AD213,AE213&gt;=AD213),((AE213-AD213)*12)*Q213,IF(AF213&gt;AE213,12*Q213,0)))))</f>
        <v>3058.826</v>
      </c>
      <c r="T213" s="286">
        <f>IF(S213&gt;0,S213,R213)</f>
        <v>3058.826</v>
      </c>
      <c r="U213" s="286">
        <v>1</v>
      </c>
      <c r="V213" s="286">
        <f>U213*SUM(R213:S213)</f>
        <v>3058.826</v>
      </c>
      <c r="W213" s="286"/>
      <c r="X213" s="286">
        <f>IF(AD213&gt;AE213,0,IF(AF213&lt;AG213,P213,IF(AND(AF213&gt;=AG213,AF213&lt;=AE213),(P213-T213),IF(AND(AG213&lt;=AD213,AE213&gt;=AD213),0,IF(AF213&gt;AE213,((AG213-AD213)*12)*Q213,0)))))</f>
        <v>17078.445166666435</v>
      </c>
      <c r="Y213" s="286">
        <f>X213*U213</f>
        <v>17078.445166666435</v>
      </c>
      <c r="Z213" s="286">
        <v>1</v>
      </c>
      <c r="AA213" s="286">
        <f>Y213*Z213</f>
        <v>17078.445166666435</v>
      </c>
      <c r="AB213" s="286">
        <f>IF(O213&gt;0,0,AA213+V213*Z213)*Z213</f>
        <v>20137.271166666436</v>
      </c>
      <c r="AC213" s="286">
        <f>IF(O213&gt;0,(N213-AA213)/2,IF(AD213&gt;=AG213,(((N213*U213)*Z213)-AB213)/2,((((N213*U213)*Z213)-AA213)+(((N213*U213)*Z213)-AB213))/2))</f>
        <v>11980.401833333563</v>
      </c>
      <c r="AD213" s="286">
        <f>$E213+(($F213-1)/12)</f>
        <v>2011.4166666666667</v>
      </c>
      <c r="AE213" s="286">
        <f>($P$5+1)-($P$2/12)</f>
        <v>2018</v>
      </c>
      <c r="AF213" s="286">
        <f>$K213+(($F213-1)/12)</f>
        <v>2021.4166666666667</v>
      </c>
      <c r="AG213" s="286">
        <f>$P$4+($P$3/12)</f>
        <v>2017</v>
      </c>
      <c r="AH213" s="286">
        <f>$L213+(($M213-1)/12)</f>
        <v>-8.3333333333333329E-2</v>
      </c>
      <c r="AJ213" s="11">
        <f t="shared" si="438"/>
        <v>0</v>
      </c>
      <c r="AL213" s="11">
        <f t="shared" si="439"/>
        <v>3058.826</v>
      </c>
      <c r="AN213" s="11">
        <f t="shared" si="440"/>
        <v>0</v>
      </c>
      <c r="AP213" s="11">
        <f t="shared" si="441"/>
        <v>0</v>
      </c>
      <c r="AR213" s="11">
        <f t="shared" si="442"/>
        <v>11980.401833333563</v>
      </c>
    </row>
    <row r="214" spans="1:44">
      <c r="D214" s="306"/>
      <c r="G214" s="307"/>
      <c r="H214" s="286"/>
      <c r="I214" s="308"/>
      <c r="K214" s="309"/>
      <c r="P214" s="286"/>
      <c r="Q214" s="286"/>
      <c r="R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J214" s="11">
        <f t="shared" si="438"/>
        <v>0</v>
      </c>
      <c r="AL214" s="11">
        <f t="shared" si="439"/>
        <v>0</v>
      </c>
      <c r="AN214" s="11">
        <f t="shared" si="440"/>
        <v>0</v>
      </c>
      <c r="AP214" s="11">
        <f t="shared" si="441"/>
        <v>0</v>
      </c>
      <c r="AR214" s="11">
        <f t="shared" si="442"/>
        <v>0</v>
      </c>
    </row>
    <row r="215" spans="1:44">
      <c r="A215" s="282">
        <v>93744</v>
      </c>
      <c r="C215" s="282">
        <v>23</v>
      </c>
      <c r="D215" s="306" t="s">
        <v>172</v>
      </c>
      <c r="E215" s="282">
        <v>2012</v>
      </c>
      <c r="F215" s="284">
        <v>4</v>
      </c>
      <c r="G215" s="307">
        <v>0</v>
      </c>
      <c r="H215" s="286"/>
      <c r="I215" s="308" t="s">
        <v>86</v>
      </c>
      <c r="J215" s="284">
        <v>10</v>
      </c>
      <c r="K215" s="309">
        <f>E215+J215</f>
        <v>2022</v>
      </c>
      <c r="N215" s="285">
        <v>10925</v>
      </c>
      <c r="P215" s="286">
        <f t="shared" ref="P215:P222" si="446">N215-N215*G215</f>
        <v>10925</v>
      </c>
      <c r="Q215" s="286">
        <f t="shared" ref="Q215:Q222" si="447">P215/J215/12</f>
        <v>91.041666666666671</v>
      </c>
      <c r="R215" s="286">
        <f>IF(O215&gt;0,0,IF(OR(AD215&gt;AE215,AF215&lt;AG215),0,IF(AND(AF215&gt;=AG215,AF215&lt;=AE215),Q215*((AF215-AG215)*12),IF(AND(AG215&lt;=AD215,AE215&gt;=AD215),((AE215-AD215)*12)*Q215,IF(AF215&gt;AE215,12*Q215,0)))))</f>
        <v>1092.5</v>
      </c>
      <c r="T215" s="286">
        <f>IF(S215&gt;0,S215,R215)</f>
        <v>1092.5</v>
      </c>
      <c r="U215" s="286">
        <v>1</v>
      </c>
      <c r="V215" s="286">
        <f>U215*SUM(R215:S215)</f>
        <v>1092.5</v>
      </c>
      <c r="W215" s="286"/>
      <c r="X215" s="286">
        <f>IF(AD215&gt;AE215,0,IF(AF215&lt;AG215,P215,IF(AND(AF215&gt;=AG215,AF215&lt;=AE215),(P215-T215),IF(AND(AG215&lt;=AD215,AE215&gt;=AD215),0,IF(AF215&gt;AE215,((AG215-AD215)*12)*Q215,0)))))</f>
        <v>5189.375</v>
      </c>
      <c r="Y215" s="286">
        <f>X215*U215</f>
        <v>5189.375</v>
      </c>
      <c r="Z215" s="286">
        <v>1</v>
      </c>
      <c r="AA215" s="286">
        <f>Y215*Z215</f>
        <v>5189.375</v>
      </c>
      <c r="AB215" s="286">
        <f>IF(O215&gt;0,0,AA215+V215*Z215)*Z215</f>
        <v>6281.875</v>
      </c>
      <c r="AC215" s="286">
        <f>IF(O215&gt;0,(N215-AA215)/2,IF(AD215&gt;=AG215,(((N215*U215)*Z215)-AB215)/2,((((N215*U215)*Z215)-AA215)+(((N215*U215)*Z215)-AB215))/2))</f>
        <v>5189.375</v>
      </c>
      <c r="AD215" s="286">
        <f>$E215+(($F215-1)/12)</f>
        <v>2012.25</v>
      </c>
      <c r="AE215" s="286">
        <f>($P$5+1)-($P$2/12)</f>
        <v>2018</v>
      </c>
      <c r="AF215" s="286">
        <f>$K215+(($F215-1)/12)</f>
        <v>2022.25</v>
      </c>
      <c r="AG215" s="286">
        <f>$P$4+($P$3/12)</f>
        <v>2017</v>
      </c>
      <c r="AH215" s="286">
        <f>$L215+(($M215-1)/12)</f>
        <v>-8.3333333333333329E-2</v>
      </c>
      <c r="AJ215" s="11">
        <f t="shared" si="438"/>
        <v>0</v>
      </c>
      <c r="AL215" s="11">
        <f t="shared" si="439"/>
        <v>1092.5</v>
      </c>
      <c r="AN215" s="11">
        <f t="shared" si="440"/>
        <v>0</v>
      </c>
      <c r="AP215" s="11">
        <f t="shared" si="441"/>
        <v>0</v>
      </c>
      <c r="AR215" s="11">
        <f t="shared" si="442"/>
        <v>5189.375</v>
      </c>
    </row>
    <row r="216" spans="1:44">
      <c r="A216" s="282">
        <v>103832</v>
      </c>
      <c r="C216" s="282">
        <v>23</v>
      </c>
      <c r="D216" s="306" t="s">
        <v>296</v>
      </c>
      <c r="E216" s="282">
        <v>2013</v>
      </c>
      <c r="F216" s="284">
        <v>4</v>
      </c>
      <c r="G216" s="307">
        <v>0</v>
      </c>
      <c r="H216" s="286"/>
      <c r="I216" s="308" t="s">
        <v>86</v>
      </c>
      <c r="J216" s="284">
        <v>10</v>
      </c>
      <c r="K216" s="309">
        <f>E216+J216</f>
        <v>2023</v>
      </c>
      <c r="N216" s="285">
        <v>10212</v>
      </c>
      <c r="P216" s="286">
        <f t="shared" si="446"/>
        <v>10212</v>
      </c>
      <c r="Q216" s="286">
        <f t="shared" si="447"/>
        <v>85.100000000000009</v>
      </c>
      <c r="R216" s="286">
        <f>IF(O216&gt;0,0,IF(OR(AD216&gt;AE216,AF216&lt;AG216),0,IF(AND(AF216&gt;=AG216,AF216&lt;=AE216),Q216*((AF216-AG216)*12),IF(AND(AG216&lt;=AD216,AE216&gt;=AD216),((AE216-AD216)*12)*Q216,IF(AF216&gt;AE216,12*Q216,0)))))</f>
        <v>1021.2</v>
      </c>
      <c r="T216" s="286">
        <f>IF(S216&gt;0,S216,R216)</f>
        <v>1021.2</v>
      </c>
      <c r="U216" s="286">
        <v>1</v>
      </c>
      <c r="V216" s="286">
        <f>U216*SUM(R216:S216)</f>
        <v>1021.2</v>
      </c>
      <c r="W216" s="286"/>
      <c r="X216" s="286">
        <f>IF(AD216&gt;AE216,0,IF(AF216&lt;AG216,P216,IF(AND(AF216&gt;=AG216,AF216&lt;=AE216),(P216-T216),IF(AND(AG216&lt;=AD216,AE216&gt;=AD216),0,IF(AF216&gt;AE216,((AG216-AD216)*12)*Q216,0)))))</f>
        <v>3829.5000000000005</v>
      </c>
      <c r="Y216" s="286">
        <f>X216*U216</f>
        <v>3829.5000000000005</v>
      </c>
      <c r="Z216" s="286">
        <v>1</v>
      </c>
      <c r="AA216" s="286">
        <f>Y216*Z216</f>
        <v>3829.5000000000005</v>
      </c>
      <c r="AB216" s="286">
        <f>IF(O216&gt;0,0,AA216+V216*Z216)*Z216</f>
        <v>4850.7000000000007</v>
      </c>
      <c r="AC216" s="286">
        <f>IF(O216&gt;0,(N216-AA216)/2,IF(AD216&gt;=AG216,(((N216*U216)*Z216)-AB216)/2,((((N216*U216)*Z216)-AA216)+(((N216*U216)*Z216)-AB216))/2))</f>
        <v>5871.9</v>
      </c>
      <c r="AD216" s="286">
        <f>$E216+(($F216-1)/12)</f>
        <v>2013.25</v>
      </c>
      <c r="AE216" s="286">
        <f>($P$5+1)-($P$2/12)</f>
        <v>2018</v>
      </c>
      <c r="AF216" s="286">
        <f>$K216+(($F216-1)/12)</f>
        <v>2023.25</v>
      </c>
      <c r="AG216" s="286">
        <f>$P$4+($P$3/12)</f>
        <v>2017</v>
      </c>
      <c r="AH216" s="286">
        <f>$L216+(($M216-1)/12)</f>
        <v>-8.3333333333333329E-2</v>
      </c>
      <c r="AJ216" s="11">
        <f t="shared" si="438"/>
        <v>0</v>
      </c>
      <c r="AL216" s="11">
        <f t="shared" si="439"/>
        <v>1021.2</v>
      </c>
      <c r="AN216" s="11">
        <f t="shared" si="440"/>
        <v>0</v>
      </c>
      <c r="AP216" s="11">
        <f t="shared" si="441"/>
        <v>0</v>
      </c>
      <c r="AR216" s="11">
        <f t="shared" si="442"/>
        <v>5871.9</v>
      </c>
    </row>
    <row r="217" spans="1:44">
      <c r="A217" s="282">
        <v>107424</v>
      </c>
      <c r="C217" s="282">
        <v>10</v>
      </c>
      <c r="D217" s="306" t="s">
        <v>299</v>
      </c>
      <c r="E217" s="282">
        <v>2013</v>
      </c>
      <c r="F217" s="284">
        <v>9</v>
      </c>
      <c r="G217" s="307">
        <v>0</v>
      </c>
      <c r="H217" s="286"/>
      <c r="I217" s="308" t="s">
        <v>86</v>
      </c>
      <c r="J217" s="284">
        <v>10</v>
      </c>
      <c r="K217" s="309">
        <f>E217+J217</f>
        <v>2023</v>
      </c>
      <c r="N217" s="285">
        <v>4100</v>
      </c>
      <c r="P217" s="286">
        <f t="shared" si="446"/>
        <v>4100</v>
      </c>
      <c r="Q217" s="286">
        <f t="shared" si="447"/>
        <v>34.166666666666664</v>
      </c>
      <c r="R217" s="286">
        <f>IF(O217&gt;0,0,IF(OR(AD217&gt;AE217,AF217&lt;AG217),0,IF(AND(AF217&gt;=AG217,AF217&lt;=AE217),Q217*((AF217-AG217)*12),IF(AND(AG217&lt;=AD217,AE217&gt;=AD217),((AE217-AD217)*12)*Q217,IF(AF217&gt;AE217,12*Q217,0)))))</f>
        <v>410</v>
      </c>
      <c r="T217" s="286">
        <f>IF(S217&gt;0,S217,R217)</f>
        <v>410</v>
      </c>
      <c r="U217" s="286">
        <v>1</v>
      </c>
      <c r="V217" s="286">
        <f>U217*SUM(R217:S217)</f>
        <v>410</v>
      </c>
      <c r="W217" s="286"/>
      <c r="X217" s="286">
        <f>IF(AD217&gt;AE217,0,IF(AF217&lt;AG217,P217,IF(AND(AF217&gt;=AG217,AF217&lt;=AE217),(P217-T217),IF(AND(AG217&lt;=AD217,AE217&gt;=AD217),0,IF(AF217&gt;AE217,((AG217-AD217)*12)*Q217,0)))))</f>
        <v>1366.6666666666356</v>
      </c>
      <c r="Y217" s="286">
        <f>X217*U217</f>
        <v>1366.6666666666356</v>
      </c>
      <c r="Z217" s="286">
        <v>1</v>
      </c>
      <c r="AA217" s="286">
        <f>Y217*Z217</f>
        <v>1366.6666666666356</v>
      </c>
      <c r="AB217" s="286">
        <f>IF(O217&gt;0,0,AA217+V217*Z217)*Z217</f>
        <v>1776.6666666666356</v>
      </c>
      <c r="AC217" s="286">
        <f>IF(O217&gt;0,(N217-AA217)/2,IF(AD217&gt;=AG217,(((N217*U217)*Z217)-AB217)/2,((((N217*U217)*Z217)-AA217)+(((N217*U217)*Z217)-AB217))/2))</f>
        <v>2528.3333333333644</v>
      </c>
      <c r="AD217" s="286">
        <f>$E217+(($F217-1)/12)</f>
        <v>2013.6666666666667</v>
      </c>
      <c r="AE217" s="286">
        <f>($P$5+1)-($P$2/12)</f>
        <v>2018</v>
      </c>
      <c r="AF217" s="286">
        <f>$K217+(($F217-1)/12)</f>
        <v>2023.6666666666667</v>
      </c>
      <c r="AG217" s="286">
        <f>$P$4+($P$3/12)</f>
        <v>2017</v>
      </c>
      <c r="AH217" s="286">
        <f>$L217+(($M217-1)/12)</f>
        <v>-8.3333333333333329E-2</v>
      </c>
      <c r="AJ217" s="11">
        <f t="shared" si="438"/>
        <v>0</v>
      </c>
      <c r="AL217" s="11">
        <f t="shared" si="439"/>
        <v>410</v>
      </c>
      <c r="AN217" s="11">
        <f t="shared" si="440"/>
        <v>0</v>
      </c>
      <c r="AP217" s="11">
        <f t="shared" si="441"/>
        <v>0</v>
      </c>
      <c r="AR217" s="11">
        <f t="shared" si="442"/>
        <v>2528.3333333333644</v>
      </c>
    </row>
    <row r="218" spans="1:44">
      <c r="A218" s="282">
        <v>115364</v>
      </c>
      <c r="C218" s="282">
        <v>25</v>
      </c>
      <c r="D218" s="306" t="s">
        <v>315</v>
      </c>
      <c r="E218" s="282">
        <v>2014</v>
      </c>
      <c r="F218" s="284">
        <v>8</v>
      </c>
      <c r="G218" s="307">
        <v>0</v>
      </c>
      <c r="H218" s="286"/>
      <c r="I218" s="308" t="s">
        <v>86</v>
      </c>
      <c r="J218" s="284">
        <v>10</v>
      </c>
      <c r="K218" s="309">
        <f>E218+J218</f>
        <v>2024</v>
      </c>
      <c r="N218" s="285">
        <v>11750</v>
      </c>
      <c r="P218" s="286">
        <f t="shared" si="446"/>
        <v>11750</v>
      </c>
      <c r="Q218" s="286">
        <f t="shared" si="447"/>
        <v>97.916666666666671</v>
      </c>
      <c r="R218" s="286">
        <f t="shared" ref="R218:R220" si="448">IF(O218&gt;0,0,IF(OR(AD218&gt;AE218,AF218&lt;AG218),0,IF(AND(AF218&gt;=AG218,AF218&lt;=AE218),Q218*((AF218-AG218)*12),IF(AND(AG218&lt;=AD218,AE218&gt;=AD218),((AE218-AD218)*12)*Q218,IF(AF218&gt;AE218,12*Q218,0)))))</f>
        <v>1175</v>
      </c>
      <c r="T218" s="286">
        <f t="shared" ref="T218:T220" si="449">IF(S218&gt;0,S218,R218)</f>
        <v>1175</v>
      </c>
      <c r="U218" s="286">
        <v>1</v>
      </c>
      <c r="V218" s="286">
        <f t="shared" ref="V218:V220" si="450">U218*SUM(R218:S218)</f>
        <v>1175</v>
      </c>
      <c r="W218" s="286"/>
      <c r="X218" s="286">
        <f t="shared" ref="X218:X220" si="451">IF(AD218&gt;AE218,0,IF(AF218&lt;AG218,P218,IF(AND(AF218&gt;=AG218,AF218&lt;=AE218),(P218-T218),IF(AND(AG218&lt;=AD218,AE218&gt;=AD218),0,IF(AF218&gt;AE218,((AG218-AD218)*12)*Q218,0)))))</f>
        <v>2839.5833333334226</v>
      </c>
      <c r="Y218" s="286">
        <f t="shared" ref="Y218:Y220" si="452">X218*U218</f>
        <v>2839.5833333334226</v>
      </c>
      <c r="Z218" s="286">
        <v>1</v>
      </c>
      <c r="AA218" s="286">
        <f t="shared" ref="AA218:AA220" si="453">Y218*Z218</f>
        <v>2839.5833333334226</v>
      </c>
      <c r="AB218" s="286">
        <f t="shared" ref="AB218:AB220" si="454">IF(O218&gt;0,0,AA218+V218*Z218)*Z218</f>
        <v>4014.5833333334226</v>
      </c>
      <c r="AC218" s="286">
        <f t="shared" ref="AC218:AC220" si="455">IF(O218&gt;0,(N218-AA218)/2,IF(AD218&gt;=AG218,(((N218*U218)*Z218)-AB218)/2,((((N218*U218)*Z218)-AA218)+(((N218*U218)*Z218)-AB218))/2))</f>
        <v>8322.9166666665769</v>
      </c>
      <c r="AD218" s="286">
        <f t="shared" ref="AD218:AD228" si="456">$E218+(($F218-1)/12)</f>
        <v>2014.5833333333333</v>
      </c>
      <c r="AE218" s="286">
        <f t="shared" ref="AE218:AE228" si="457">($P$5+1)-($P$2/12)</f>
        <v>2018</v>
      </c>
      <c r="AF218" s="286">
        <f t="shared" ref="AF218:AF228" si="458">$K218+(($F218-1)/12)</f>
        <v>2024.5833333333333</v>
      </c>
      <c r="AG218" s="286">
        <f t="shared" ref="AG218:AG228" si="459">$P$4+($P$3/12)</f>
        <v>2017</v>
      </c>
      <c r="AH218" s="286">
        <f t="shared" ref="AH218:AH228" si="460">$L218+(($M218-1)/12)</f>
        <v>-8.3333333333333329E-2</v>
      </c>
      <c r="AJ218" s="11">
        <f t="shared" si="438"/>
        <v>0</v>
      </c>
      <c r="AL218" s="11">
        <f t="shared" si="439"/>
        <v>1175</v>
      </c>
      <c r="AN218" s="11">
        <f t="shared" si="440"/>
        <v>0</v>
      </c>
      <c r="AP218" s="11">
        <f t="shared" si="441"/>
        <v>0</v>
      </c>
      <c r="AR218" s="11">
        <f t="shared" si="442"/>
        <v>8322.9166666665769</v>
      </c>
    </row>
    <row r="219" spans="1:44">
      <c r="A219" s="282">
        <v>115252</v>
      </c>
      <c r="C219" s="282">
        <v>18</v>
      </c>
      <c r="D219" s="306" t="s">
        <v>315</v>
      </c>
      <c r="E219" s="282">
        <v>2014</v>
      </c>
      <c r="F219" s="284">
        <v>8</v>
      </c>
      <c r="G219" s="307">
        <v>0</v>
      </c>
      <c r="H219" s="286"/>
      <c r="I219" s="308" t="s">
        <v>86</v>
      </c>
      <c r="J219" s="284">
        <v>10</v>
      </c>
      <c r="K219" s="309">
        <f t="shared" ref="K219:K223" si="461">E219+J219</f>
        <v>2024</v>
      </c>
      <c r="N219" s="285">
        <v>8460</v>
      </c>
      <c r="P219" s="286">
        <f t="shared" si="446"/>
        <v>8460</v>
      </c>
      <c r="Q219" s="286">
        <f t="shared" si="447"/>
        <v>70.5</v>
      </c>
      <c r="R219" s="286">
        <f t="shared" si="448"/>
        <v>846</v>
      </c>
      <c r="T219" s="286">
        <f t="shared" si="449"/>
        <v>846</v>
      </c>
      <c r="U219" s="286">
        <v>1</v>
      </c>
      <c r="V219" s="286">
        <f t="shared" si="450"/>
        <v>846</v>
      </c>
      <c r="W219" s="286"/>
      <c r="X219" s="286">
        <f t="shared" si="451"/>
        <v>2044.5000000000641</v>
      </c>
      <c r="Y219" s="286">
        <f t="shared" si="452"/>
        <v>2044.5000000000641</v>
      </c>
      <c r="Z219" s="286">
        <v>1</v>
      </c>
      <c r="AA219" s="286">
        <f t="shared" si="453"/>
        <v>2044.5000000000641</v>
      </c>
      <c r="AB219" s="286">
        <f t="shared" si="454"/>
        <v>2890.5000000000641</v>
      </c>
      <c r="AC219" s="286">
        <f t="shared" si="455"/>
        <v>5992.4999999999363</v>
      </c>
      <c r="AD219" s="286">
        <f t="shared" si="456"/>
        <v>2014.5833333333333</v>
      </c>
      <c r="AE219" s="286">
        <f t="shared" si="457"/>
        <v>2018</v>
      </c>
      <c r="AF219" s="286">
        <f t="shared" si="458"/>
        <v>2024.5833333333333</v>
      </c>
      <c r="AG219" s="286">
        <f t="shared" si="459"/>
        <v>2017</v>
      </c>
      <c r="AH219" s="286">
        <f t="shared" si="460"/>
        <v>-8.3333333333333329E-2</v>
      </c>
      <c r="AJ219" s="11">
        <f t="shared" si="438"/>
        <v>0</v>
      </c>
      <c r="AL219" s="11">
        <f t="shared" si="439"/>
        <v>846</v>
      </c>
      <c r="AN219" s="11">
        <f t="shared" si="440"/>
        <v>0</v>
      </c>
      <c r="AP219" s="11">
        <f t="shared" si="441"/>
        <v>0</v>
      </c>
      <c r="AR219" s="11">
        <f t="shared" si="442"/>
        <v>5992.4999999999363</v>
      </c>
    </row>
    <row r="220" spans="1:44">
      <c r="A220" s="282">
        <v>115251</v>
      </c>
      <c r="C220" s="282">
        <v>35</v>
      </c>
      <c r="D220" s="306" t="s">
        <v>314</v>
      </c>
      <c r="E220" s="282">
        <v>2014</v>
      </c>
      <c r="F220" s="284">
        <v>8</v>
      </c>
      <c r="G220" s="307">
        <v>0</v>
      </c>
      <c r="H220" s="286"/>
      <c r="I220" s="308" t="s">
        <v>86</v>
      </c>
      <c r="J220" s="284">
        <v>10</v>
      </c>
      <c r="K220" s="309">
        <f t="shared" si="461"/>
        <v>2024</v>
      </c>
      <c r="N220" s="285">
        <v>15400</v>
      </c>
      <c r="P220" s="286">
        <f t="shared" si="446"/>
        <v>15400</v>
      </c>
      <c r="Q220" s="286">
        <f t="shared" si="447"/>
        <v>128.33333333333334</v>
      </c>
      <c r="R220" s="286">
        <f t="shared" si="448"/>
        <v>1540</v>
      </c>
      <c r="T220" s="286">
        <f t="shared" si="449"/>
        <v>1540</v>
      </c>
      <c r="U220" s="286">
        <v>1</v>
      </c>
      <c r="V220" s="286">
        <f t="shared" si="450"/>
        <v>1540</v>
      </c>
      <c r="W220" s="286"/>
      <c r="X220" s="286">
        <f t="shared" si="451"/>
        <v>3721.6666666667838</v>
      </c>
      <c r="Y220" s="286">
        <f t="shared" si="452"/>
        <v>3721.6666666667838</v>
      </c>
      <c r="Z220" s="286">
        <v>1</v>
      </c>
      <c r="AA220" s="286">
        <f t="shared" si="453"/>
        <v>3721.6666666667838</v>
      </c>
      <c r="AB220" s="286">
        <f t="shared" si="454"/>
        <v>5261.6666666667843</v>
      </c>
      <c r="AC220" s="286">
        <f t="shared" si="455"/>
        <v>10908.333333333216</v>
      </c>
      <c r="AD220" s="286">
        <f t="shared" si="456"/>
        <v>2014.5833333333333</v>
      </c>
      <c r="AE220" s="286">
        <f t="shared" si="457"/>
        <v>2018</v>
      </c>
      <c r="AF220" s="286">
        <f t="shared" si="458"/>
        <v>2024.5833333333333</v>
      </c>
      <c r="AG220" s="286">
        <f t="shared" si="459"/>
        <v>2017</v>
      </c>
      <c r="AH220" s="286">
        <f t="shared" si="460"/>
        <v>-8.3333333333333329E-2</v>
      </c>
      <c r="AJ220" s="11">
        <f t="shared" si="438"/>
        <v>0</v>
      </c>
      <c r="AL220" s="11">
        <f t="shared" si="439"/>
        <v>1540</v>
      </c>
      <c r="AN220" s="11">
        <f t="shared" si="440"/>
        <v>0</v>
      </c>
      <c r="AP220" s="11">
        <f t="shared" si="441"/>
        <v>0</v>
      </c>
      <c r="AR220" s="11">
        <f t="shared" si="442"/>
        <v>10908.333333333216</v>
      </c>
    </row>
    <row r="221" spans="1:44">
      <c r="A221" s="282">
        <v>124067</v>
      </c>
      <c r="C221" s="282">
        <v>25</v>
      </c>
      <c r="D221" s="306" t="s">
        <v>314</v>
      </c>
      <c r="E221" s="282">
        <v>2015</v>
      </c>
      <c r="F221" s="284">
        <v>7</v>
      </c>
      <c r="G221" s="307">
        <v>0</v>
      </c>
      <c r="H221" s="286"/>
      <c r="I221" s="308" t="s">
        <v>86</v>
      </c>
      <c r="J221" s="284">
        <v>10</v>
      </c>
      <c r="K221" s="309">
        <f t="shared" si="461"/>
        <v>2025</v>
      </c>
      <c r="N221" s="285">
        <v>10875</v>
      </c>
      <c r="P221" s="286">
        <f t="shared" si="446"/>
        <v>10875</v>
      </c>
      <c r="Q221" s="286">
        <f t="shared" si="447"/>
        <v>90.625</v>
      </c>
      <c r="R221" s="286">
        <f t="shared" ref="R221:R222" si="462">IF(O221&gt;0,0,IF(OR(AD221&gt;AE221,AF221&lt;AG221),0,IF(AND(AF221&gt;=AG221,AF221&lt;=AE221),Q221*((AF221-AG221)*12),IF(AND(AG221&lt;=AD221,AE221&gt;=AD221),((AE221-AD221)*12)*Q221,IF(AF221&gt;AE221,12*Q221,0)))))</f>
        <v>1087.5</v>
      </c>
      <c r="T221" s="286">
        <f t="shared" ref="T221:T222" si="463">IF(S221&gt;0,S221,R221)</f>
        <v>1087.5</v>
      </c>
      <c r="U221" s="286">
        <v>1</v>
      </c>
      <c r="V221" s="286">
        <f t="shared" ref="V221:V222" si="464">U221*SUM(R221:S221)</f>
        <v>1087.5</v>
      </c>
      <c r="W221" s="286"/>
      <c r="X221" s="286">
        <f t="shared" ref="X221:X222" si="465">IF(AD221&gt;AE221,0,IF(AF221&lt;AG221,P221,IF(AND(AF221&gt;=AG221,AF221&lt;=AE221),(P221-T221),IF(AND(AG221&lt;=AD221,AE221&gt;=AD221),0,IF(AF221&gt;AE221,((AG221-AD221)*12)*Q221,0)))))</f>
        <v>1631.25</v>
      </c>
      <c r="Y221" s="286">
        <f t="shared" ref="Y221:Y222" si="466">X221*U221</f>
        <v>1631.25</v>
      </c>
      <c r="Z221" s="286">
        <v>1</v>
      </c>
      <c r="AA221" s="286">
        <f t="shared" ref="AA221:AA222" si="467">Y221*Z221</f>
        <v>1631.25</v>
      </c>
      <c r="AB221" s="286">
        <f t="shared" ref="AB221:AB222" si="468">IF(O221&gt;0,0,AA221+V221*Z221)*Z221</f>
        <v>2718.75</v>
      </c>
      <c r="AC221" s="286">
        <f t="shared" ref="AC221:AC222" si="469">IF(O221&gt;0,(N221-AA221)/2,IF(AD221&gt;=AG221,(((N221*U221)*Z221)-AB221)/2,((((N221*U221)*Z221)-AA221)+(((N221*U221)*Z221)-AB221))/2))</f>
        <v>8700</v>
      </c>
      <c r="AD221" s="286">
        <f t="shared" si="456"/>
        <v>2015.5</v>
      </c>
      <c r="AE221" s="286">
        <f t="shared" si="457"/>
        <v>2018</v>
      </c>
      <c r="AF221" s="286">
        <f t="shared" si="458"/>
        <v>2025.5</v>
      </c>
      <c r="AG221" s="286">
        <f t="shared" si="459"/>
        <v>2017</v>
      </c>
      <c r="AH221" s="286">
        <f t="shared" si="460"/>
        <v>-8.3333333333333329E-2</v>
      </c>
      <c r="AJ221" s="11">
        <f t="shared" si="438"/>
        <v>0</v>
      </c>
      <c r="AL221" s="11">
        <f t="shared" si="439"/>
        <v>1087.5</v>
      </c>
      <c r="AN221" s="11">
        <f t="shared" si="440"/>
        <v>0</v>
      </c>
      <c r="AP221" s="11">
        <f t="shared" si="441"/>
        <v>0</v>
      </c>
      <c r="AR221" s="11">
        <f t="shared" si="442"/>
        <v>8700</v>
      </c>
    </row>
    <row r="222" spans="1:44">
      <c r="A222" s="282">
        <v>124068</v>
      </c>
      <c r="C222" s="282">
        <v>44</v>
      </c>
      <c r="D222" s="306" t="s">
        <v>315</v>
      </c>
      <c r="E222" s="282">
        <v>2015</v>
      </c>
      <c r="F222" s="284">
        <v>7</v>
      </c>
      <c r="G222" s="307">
        <v>0</v>
      </c>
      <c r="H222" s="286"/>
      <c r="I222" s="308" t="s">
        <v>86</v>
      </c>
      <c r="J222" s="284">
        <v>10</v>
      </c>
      <c r="K222" s="309">
        <f t="shared" si="461"/>
        <v>2025</v>
      </c>
      <c r="N222" s="285">
        <v>20328</v>
      </c>
      <c r="P222" s="286">
        <f t="shared" si="446"/>
        <v>20328</v>
      </c>
      <c r="Q222" s="286">
        <f t="shared" si="447"/>
        <v>169.4</v>
      </c>
      <c r="R222" s="286">
        <f t="shared" si="462"/>
        <v>2032.8000000000002</v>
      </c>
      <c r="T222" s="286">
        <f t="shared" si="463"/>
        <v>2032.8000000000002</v>
      </c>
      <c r="U222" s="286">
        <v>1</v>
      </c>
      <c r="V222" s="286">
        <f t="shared" si="464"/>
        <v>2032.8000000000002</v>
      </c>
      <c r="W222" s="286"/>
      <c r="X222" s="286">
        <f t="shared" si="465"/>
        <v>3049.2000000000003</v>
      </c>
      <c r="Y222" s="286">
        <f t="shared" si="466"/>
        <v>3049.2000000000003</v>
      </c>
      <c r="Z222" s="286">
        <v>1</v>
      </c>
      <c r="AA222" s="286">
        <f t="shared" si="467"/>
        <v>3049.2000000000003</v>
      </c>
      <c r="AB222" s="286">
        <f t="shared" si="468"/>
        <v>5082</v>
      </c>
      <c r="AC222" s="286">
        <f t="shared" si="469"/>
        <v>16262.4</v>
      </c>
      <c r="AD222" s="286">
        <f t="shared" si="456"/>
        <v>2015.5</v>
      </c>
      <c r="AE222" s="286">
        <f t="shared" si="457"/>
        <v>2018</v>
      </c>
      <c r="AF222" s="286">
        <f t="shared" si="458"/>
        <v>2025.5</v>
      </c>
      <c r="AG222" s="286">
        <f t="shared" si="459"/>
        <v>2017</v>
      </c>
      <c r="AH222" s="286">
        <f t="shared" si="460"/>
        <v>-8.3333333333333329E-2</v>
      </c>
      <c r="AJ222" s="11">
        <f t="shared" si="438"/>
        <v>0</v>
      </c>
      <c r="AL222" s="11">
        <f t="shared" si="439"/>
        <v>2032.8000000000002</v>
      </c>
      <c r="AN222" s="11">
        <f t="shared" si="440"/>
        <v>0</v>
      </c>
      <c r="AP222" s="11">
        <f t="shared" si="441"/>
        <v>0</v>
      </c>
      <c r="AR222" s="11">
        <f t="shared" si="442"/>
        <v>16262.4</v>
      </c>
    </row>
    <row r="223" spans="1:44">
      <c r="A223" s="282" t="s">
        <v>341</v>
      </c>
      <c r="C223" s="282">
        <f>45</f>
        <v>45</v>
      </c>
      <c r="D223" s="306" t="s">
        <v>315</v>
      </c>
      <c r="E223" s="282">
        <v>2016</v>
      </c>
      <c r="F223" s="284">
        <v>2</v>
      </c>
      <c r="G223" s="307">
        <v>0</v>
      </c>
      <c r="H223" s="286"/>
      <c r="I223" s="308" t="s">
        <v>86</v>
      </c>
      <c r="J223" s="284">
        <v>10</v>
      </c>
      <c r="K223" s="309">
        <f t="shared" si="461"/>
        <v>2026</v>
      </c>
      <c r="N223" s="285">
        <f>20900+520</f>
        <v>21420</v>
      </c>
      <c r="P223" s="286">
        <f t="shared" ref="P223:P228" si="470">N223-N223*G223</f>
        <v>21420</v>
      </c>
      <c r="Q223" s="286">
        <f t="shared" ref="Q223:Q228" si="471">P223/J223/12</f>
        <v>178.5</v>
      </c>
      <c r="R223" s="286">
        <f t="shared" ref="R223:R225" si="472">IF(O223&gt;0,0,IF(OR(AD223&gt;AE223,AF223&lt;AG223),0,IF(AND(AF223&gt;=AG223,AF223&lt;=AE223),Q223*((AF223-AG223)*12),IF(AND(AG223&lt;=AD223,AE223&gt;=AD223),((AE223-AD223)*12)*Q223,IF(AF223&gt;AE223,12*Q223,0)))))</f>
        <v>2142</v>
      </c>
      <c r="T223" s="286">
        <f t="shared" ref="T223:T225" si="473">IF(S223&gt;0,S223,R223)</f>
        <v>2142</v>
      </c>
      <c r="U223" s="286">
        <v>1</v>
      </c>
      <c r="V223" s="286">
        <f t="shared" ref="V223:V225" si="474">U223*SUM(R223:S223)</f>
        <v>2142</v>
      </c>
      <c r="W223" s="286"/>
      <c r="X223" s="286">
        <f t="shared" ref="X223:X225" si="475">IF(AD223&gt;AE223,0,IF(AF223&lt;AG223,P223,IF(AND(AF223&gt;=AG223,AF223&lt;=AE223),(P223-T223),IF(AND(AG223&lt;=AD223,AE223&gt;=AD223),0,IF(AF223&gt;AE223,((AG223-AD223)*12)*Q223,0)))))</f>
        <v>1963.5000000001623</v>
      </c>
      <c r="Y223" s="286">
        <f t="shared" ref="Y223:Y225" si="476">X223*U223</f>
        <v>1963.5000000001623</v>
      </c>
      <c r="Z223" s="286">
        <v>1</v>
      </c>
      <c r="AA223" s="286">
        <f t="shared" ref="AA223:AA225" si="477">Y223*Z223</f>
        <v>1963.5000000001623</v>
      </c>
      <c r="AB223" s="286">
        <f t="shared" ref="AB223:AB225" si="478">IF(O223&gt;0,0,AA223+V223*Z223)*Z223</f>
        <v>4105.5000000001619</v>
      </c>
      <c r="AC223" s="286">
        <f t="shared" ref="AC223:AC225" si="479">IF(O223&gt;0,(N223-AA223)/2,IF(AD223&gt;=AG223,(((N223*U223)*Z223)-AB223)/2,((((N223*U223)*Z223)-AA223)+(((N223*U223)*Z223)-AB223))/2))</f>
        <v>18385.49999999984</v>
      </c>
      <c r="AD223" s="286">
        <f t="shared" si="456"/>
        <v>2016.0833333333333</v>
      </c>
      <c r="AE223" s="286">
        <f t="shared" si="457"/>
        <v>2018</v>
      </c>
      <c r="AF223" s="286">
        <f t="shared" si="458"/>
        <v>2026.0833333333333</v>
      </c>
      <c r="AG223" s="286">
        <f t="shared" si="459"/>
        <v>2017</v>
      </c>
      <c r="AH223" s="286">
        <f t="shared" si="460"/>
        <v>-8.3333333333333329E-2</v>
      </c>
      <c r="AJ223" s="11">
        <f t="shared" si="438"/>
        <v>0</v>
      </c>
      <c r="AL223" s="11">
        <f t="shared" si="439"/>
        <v>2142</v>
      </c>
      <c r="AN223" s="11">
        <f t="shared" si="440"/>
        <v>0</v>
      </c>
      <c r="AP223" s="11">
        <f t="shared" si="441"/>
        <v>0</v>
      </c>
      <c r="AR223" s="11">
        <f t="shared" si="442"/>
        <v>18385.49999999984</v>
      </c>
    </row>
    <row r="224" spans="1:44">
      <c r="A224" s="282" t="s">
        <v>342</v>
      </c>
      <c r="C224" s="282">
        <f>30</f>
        <v>30</v>
      </c>
      <c r="D224" s="306" t="s">
        <v>314</v>
      </c>
      <c r="E224" s="282">
        <v>2016</v>
      </c>
      <c r="F224" s="284">
        <v>2</v>
      </c>
      <c r="G224" s="307">
        <v>0</v>
      </c>
      <c r="H224" s="286"/>
      <c r="I224" s="308" t="s">
        <v>86</v>
      </c>
      <c r="J224" s="284">
        <v>10</v>
      </c>
      <c r="K224" s="309">
        <f t="shared" ref="K224:K228" si="480">E224+J224</f>
        <v>2026</v>
      </c>
      <c r="N224" s="285">
        <f>11000+2200</f>
        <v>13200</v>
      </c>
      <c r="P224" s="286">
        <f t="shared" si="470"/>
        <v>13200</v>
      </c>
      <c r="Q224" s="286">
        <f t="shared" si="471"/>
        <v>110</v>
      </c>
      <c r="R224" s="286">
        <f t="shared" si="472"/>
        <v>1320</v>
      </c>
      <c r="T224" s="286">
        <f t="shared" si="473"/>
        <v>1320</v>
      </c>
      <c r="U224" s="286">
        <v>1</v>
      </c>
      <c r="V224" s="286">
        <f t="shared" si="474"/>
        <v>1320</v>
      </c>
      <c r="W224" s="286"/>
      <c r="X224" s="286">
        <f t="shared" si="475"/>
        <v>1210.0000000001</v>
      </c>
      <c r="Y224" s="286">
        <f t="shared" si="476"/>
        <v>1210.0000000001</v>
      </c>
      <c r="Z224" s="286">
        <v>1</v>
      </c>
      <c r="AA224" s="286">
        <f t="shared" si="477"/>
        <v>1210.0000000001</v>
      </c>
      <c r="AB224" s="286">
        <f t="shared" si="478"/>
        <v>2530.0000000001</v>
      </c>
      <c r="AC224" s="286">
        <f t="shared" si="479"/>
        <v>11329.9999999999</v>
      </c>
      <c r="AD224" s="286">
        <f t="shared" si="456"/>
        <v>2016.0833333333333</v>
      </c>
      <c r="AE224" s="286">
        <f t="shared" si="457"/>
        <v>2018</v>
      </c>
      <c r="AF224" s="286">
        <f t="shared" si="458"/>
        <v>2026.0833333333333</v>
      </c>
      <c r="AG224" s="286">
        <f t="shared" si="459"/>
        <v>2017</v>
      </c>
      <c r="AH224" s="286">
        <f t="shared" si="460"/>
        <v>-8.3333333333333329E-2</v>
      </c>
      <c r="AJ224" s="11">
        <f t="shared" si="438"/>
        <v>0</v>
      </c>
      <c r="AL224" s="11">
        <f t="shared" si="439"/>
        <v>1320</v>
      </c>
      <c r="AN224" s="11">
        <f t="shared" si="440"/>
        <v>0</v>
      </c>
      <c r="AP224" s="11">
        <f t="shared" si="441"/>
        <v>0</v>
      </c>
      <c r="AR224" s="11">
        <f t="shared" si="442"/>
        <v>11329.9999999999</v>
      </c>
    </row>
    <row r="225" spans="1:44">
      <c r="A225" s="282">
        <v>131775</v>
      </c>
      <c r="C225" s="282">
        <v>5</v>
      </c>
      <c r="D225" s="306" t="s">
        <v>343</v>
      </c>
      <c r="E225" s="282">
        <v>2016</v>
      </c>
      <c r="F225" s="284">
        <v>2</v>
      </c>
      <c r="G225" s="307">
        <v>0</v>
      </c>
      <c r="H225" s="286"/>
      <c r="I225" s="308" t="s">
        <v>86</v>
      </c>
      <c r="J225" s="284">
        <v>10</v>
      </c>
      <c r="K225" s="309">
        <f t="shared" si="480"/>
        <v>2026</v>
      </c>
      <c r="N225" s="285">
        <v>2025</v>
      </c>
      <c r="P225" s="286">
        <f t="shared" si="470"/>
        <v>2025</v>
      </c>
      <c r="Q225" s="286">
        <f t="shared" si="471"/>
        <v>16.875</v>
      </c>
      <c r="R225" s="286">
        <f t="shared" si="472"/>
        <v>202.5</v>
      </c>
      <c r="T225" s="286">
        <f t="shared" si="473"/>
        <v>202.5</v>
      </c>
      <c r="U225" s="286">
        <v>1</v>
      </c>
      <c r="V225" s="286">
        <f t="shared" si="474"/>
        <v>202.5</v>
      </c>
      <c r="W225" s="286"/>
      <c r="X225" s="286">
        <f t="shared" si="475"/>
        <v>185.62500000001535</v>
      </c>
      <c r="Y225" s="286">
        <f t="shared" si="476"/>
        <v>185.62500000001535</v>
      </c>
      <c r="Z225" s="286">
        <v>1</v>
      </c>
      <c r="AA225" s="286">
        <f t="shared" si="477"/>
        <v>185.62500000001535</v>
      </c>
      <c r="AB225" s="286">
        <f t="shared" si="478"/>
        <v>388.12500000001535</v>
      </c>
      <c r="AC225" s="286">
        <f t="shared" si="479"/>
        <v>1738.1249999999845</v>
      </c>
      <c r="AD225" s="286">
        <f t="shared" si="456"/>
        <v>2016.0833333333333</v>
      </c>
      <c r="AE225" s="286">
        <f t="shared" si="457"/>
        <v>2018</v>
      </c>
      <c r="AF225" s="286">
        <f t="shared" si="458"/>
        <v>2026.0833333333333</v>
      </c>
      <c r="AG225" s="286">
        <f t="shared" si="459"/>
        <v>2017</v>
      </c>
      <c r="AH225" s="286">
        <f t="shared" si="460"/>
        <v>-8.3333333333333329E-2</v>
      </c>
      <c r="AJ225" s="11">
        <f t="shared" si="438"/>
        <v>0</v>
      </c>
      <c r="AL225" s="11">
        <f t="shared" si="439"/>
        <v>202.5</v>
      </c>
      <c r="AN225" s="11">
        <f t="shared" si="440"/>
        <v>0</v>
      </c>
      <c r="AP225" s="11">
        <f t="shared" si="441"/>
        <v>0</v>
      </c>
      <c r="AR225" s="11">
        <f t="shared" si="442"/>
        <v>1738.1249999999845</v>
      </c>
    </row>
    <row r="226" spans="1:44">
      <c r="A226" s="282">
        <v>177913</v>
      </c>
      <c r="C226" s="282">
        <v>40</v>
      </c>
      <c r="D226" s="306" t="s">
        <v>381</v>
      </c>
      <c r="E226" s="282">
        <v>2017</v>
      </c>
      <c r="F226" s="284">
        <v>3</v>
      </c>
      <c r="G226" s="307">
        <v>0</v>
      </c>
      <c r="H226" s="286"/>
      <c r="I226" s="308" t="s">
        <v>86</v>
      </c>
      <c r="J226" s="284">
        <v>12</v>
      </c>
      <c r="K226" s="309">
        <f t="shared" si="480"/>
        <v>2029</v>
      </c>
      <c r="N226" s="285">
        <v>19880</v>
      </c>
      <c r="P226" s="286">
        <f t="shared" si="470"/>
        <v>19880</v>
      </c>
      <c r="Q226" s="286">
        <f t="shared" si="471"/>
        <v>138.05555555555557</v>
      </c>
      <c r="R226" s="286">
        <f t="shared" ref="R226" si="481">IF(O226&gt;0,0,IF(OR(AD226&gt;AE226,AF226&lt;AG226),0,IF(AND(AF226&gt;=AG226,AF226&lt;=AE226),Q226*((AF226-AG226)*12),IF(AND(AG226&lt;=AD226,AE226&gt;=AD226),((AE226-AD226)*12)*Q226,IF(AF226&gt;AE226,12*Q226,0)))))</f>
        <v>1380.5555555554301</v>
      </c>
      <c r="T226" s="286">
        <f t="shared" ref="T226" si="482">IF(S226&gt;0,S226,R226)</f>
        <v>1380.5555555554301</v>
      </c>
      <c r="U226" s="286">
        <v>1</v>
      </c>
      <c r="V226" s="286">
        <f t="shared" ref="V226" si="483">U226*SUM(R226:S226)</f>
        <v>1380.5555555554301</v>
      </c>
      <c r="W226" s="286"/>
      <c r="X226" s="286">
        <f t="shared" ref="X226" si="484">IF(AD226&gt;AE226,0,IF(AF226&lt;AG226,P226,IF(AND(AF226&gt;=AG226,AF226&lt;=AE226),(P226-T226),IF(AND(AG226&lt;=AD226,AE226&gt;=AD226),0,IF(AF226&gt;AE226,((AG226-AD226)*12)*Q226,0)))))</f>
        <v>0</v>
      </c>
      <c r="Y226" s="286">
        <f t="shared" ref="Y226" si="485">X226*U226</f>
        <v>0</v>
      </c>
      <c r="Z226" s="286">
        <v>1</v>
      </c>
      <c r="AA226" s="286">
        <f t="shared" ref="AA226" si="486">Y226*Z226</f>
        <v>0</v>
      </c>
      <c r="AB226" s="286">
        <f t="shared" ref="AB226" si="487">IF(O226&gt;0,0,AA226+V226*Z226)*Z226</f>
        <v>1380.5555555554301</v>
      </c>
      <c r="AC226" s="286">
        <f t="shared" ref="AC226" si="488">IF(O226&gt;0,(N226-AA226)/2,IF(AD226&gt;=AG226,(((N226*U226)*Z226)-AB226)/2,((((N226*U226)*Z226)-AA226)+(((N226*U226)*Z226)-AB226))/2))</f>
        <v>9249.7222222222845</v>
      </c>
      <c r="AD226" s="286">
        <f t="shared" si="456"/>
        <v>2017.1666666666667</v>
      </c>
      <c r="AE226" s="286">
        <f t="shared" si="457"/>
        <v>2018</v>
      </c>
      <c r="AF226" s="286">
        <f t="shared" si="458"/>
        <v>2029.1666666666667</v>
      </c>
      <c r="AG226" s="286">
        <f t="shared" si="459"/>
        <v>2017</v>
      </c>
      <c r="AH226" s="286">
        <f t="shared" si="460"/>
        <v>-8.3333333333333329E-2</v>
      </c>
      <c r="AJ226" s="11">
        <f t="shared" si="438"/>
        <v>0</v>
      </c>
      <c r="AL226" s="11">
        <f t="shared" si="439"/>
        <v>1380.5555555554301</v>
      </c>
      <c r="AN226" s="11">
        <f t="shared" si="440"/>
        <v>0</v>
      </c>
      <c r="AP226" s="11">
        <f t="shared" si="441"/>
        <v>0</v>
      </c>
      <c r="AR226" s="11">
        <f t="shared" si="442"/>
        <v>9249.7222222222845</v>
      </c>
    </row>
    <row r="227" spans="1:44">
      <c r="A227" s="282">
        <v>177912</v>
      </c>
      <c r="C227" s="282">
        <v>5</v>
      </c>
      <c r="D227" s="306" t="s">
        <v>382</v>
      </c>
      <c r="E227" s="282">
        <v>2017</v>
      </c>
      <c r="F227" s="284">
        <v>3</v>
      </c>
      <c r="G227" s="307">
        <v>0</v>
      </c>
      <c r="H227" s="286"/>
      <c r="I227" s="308" t="s">
        <v>86</v>
      </c>
      <c r="J227" s="284">
        <v>12</v>
      </c>
      <c r="K227" s="309">
        <f t="shared" si="480"/>
        <v>2029</v>
      </c>
      <c r="N227" s="285">
        <v>2240</v>
      </c>
      <c r="P227" s="286">
        <f t="shared" si="470"/>
        <v>2240</v>
      </c>
      <c r="Q227" s="286">
        <f t="shared" si="471"/>
        <v>15.555555555555555</v>
      </c>
      <c r="R227" s="286">
        <f t="shared" ref="R227" si="489">IF(O227&gt;0,0,IF(OR(AD227&gt;AE227,AF227&lt;AG227),0,IF(AND(AF227&gt;=AG227,AF227&lt;=AE227),Q227*((AF227-AG227)*12),IF(AND(AG227&lt;=AD227,AE227&gt;=AD227),((AE227-AD227)*12)*Q227,IF(AF227&gt;AE227,12*Q227,0)))))</f>
        <v>155.55555555554142</v>
      </c>
      <c r="T227" s="286">
        <f t="shared" ref="T227" si="490">IF(S227&gt;0,S227,R227)</f>
        <v>155.55555555554142</v>
      </c>
      <c r="U227" s="286">
        <v>1</v>
      </c>
      <c r="V227" s="286">
        <f t="shared" ref="V227" si="491">U227*SUM(R227:S227)</f>
        <v>155.55555555554142</v>
      </c>
      <c r="W227" s="286"/>
      <c r="X227" s="286">
        <f t="shared" ref="X227" si="492">IF(AD227&gt;AE227,0,IF(AF227&lt;AG227,P227,IF(AND(AF227&gt;=AG227,AF227&lt;=AE227),(P227-T227),IF(AND(AG227&lt;=AD227,AE227&gt;=AD227),0,IF(AF227&gt;AE227,((AG227-AD227)*12)*Q227,0)))))</f>
        <v>0</v>
      </c>
      <c r="Y227" s="286">
        <f t="shared" ref="Y227" si="493">X227*U227</f>
        <v>0</v>
      </c>
      <c r="Z227" s="286">
        <v>1</v>
      </c>
      <c r="AA227" s="286">
        <f t="shared" ref="AA227" si="494">Y227*Z227</f>
        <v>0</v>
      </c>
      <c r="AB227" s="286">
        <f t="shared" ref="AB227" si="495">IF(O227&gt;0,0,AA227+V227*Z227)*Z227</f>
        <v>155.55555555554142</v>
      </c>
      <c r="AC227" s="286">
        <f t="shared" ref="AC227" si="496">IF(O227&gt;0,(N227-AA227)/2,IF(AD227&gt;=AG227,(((N227*U227)*Z227)-AB227)/2,((((N227*U227)*Z227)-AA227)+(((N227*U227)*Z227)-AB227))/2))</f>
        <v>1042.2222222222292</v>
      </c>
      <c r="AD227" s="286">
        <f t="shared" si="456"/>
        <v>2017.1666666666667</v>
      </c>
      <c r="AE227" s="286">
        <f t="shared" si="457"/>
        <v>2018</v>
      </c>
      <c r="AF227" s="286">
        <f t="shared" si="458"/>
        <v>2029.1666666666667</v>
      </c>
      <c r="AG227" s="286">
        <f t="shared" si="459"/>
        <v>2017</v>
      </c>
      <c r="AH227" s="286">
        <f t="shared" si="460"/>
        <v>-8.3333333333333329E-2</v>
      </c>
      <c r="AJ227" s="11">
        <f t="shared" si="438"/>
        <v>0</v>
      </c>
      <c r="AL227" s="11">
        <f t="shared" si="439"/>
        <v>155.55555555554142</v>
      </c>
      <c r="AN227" s="11">
        <f t="shared" si="440"/>
        <v>0</v>
      </c>
      <c r="AP227" s="11">
        <f t="shared" si="441"/>
        <v>0</v>
      </c>
      <c r="AR227" s="11">
        <f t="shared" si="442"/>
        <v>1042.2222222222292</v>
      </c>
    </row>
    <row r="228" spans="1:44">
      <c r="A228" s="282">
        <v>177911</v>
      </c>
      <c r="C228" s="282">
        <v>36</v>
      </c>
      <c r="D228" s="306" t="s">
        <v>383</v>
      </c>
      <c r="E228" s="282">
        <v>2017</v>
      </c>
      <c r="F228" s="284">
        <v>3</v>
      </c>
      <c r="G228" s="307">
        <v>0</v>
      </c>
      <c r="H228" s="286"/>
      <c r="I228" s="308" t="s">
        <v>86</v>
      </c>
      <c r="J228" s="284">
        <v>12</v>
      </c>
      <c r="K228" s="309">
        <f t="shared" si="480"/>
        <v>2029</v>
      </c>
      <c r="N228" s="285">
        <v>16560</v>
      </c>
      <c r="P228" s="286">
        <f t="shared" si="470"/>
        <v>16560</v>
      </c>
      <c r="Q228" s="286">
        <f t="shared" si="471"/>
        <v>115</v>
      </c>
      <c r="R228" s="286">
        <f t="shared" ref="R228" si="497">IF(O228&gt;0,0,IF(OR(AD228&gt;AE228,AF228&lt;AG228),0,IF(AND(AF228&gt;=AG228,AF228&lt;=AE228),Q228*((AF228-AG228)*12),IF(AND(AG228&lt;=AD228,AE228&gt;=AD228),((AE228-AD228)*12)*Q228,IF(AF228&gt;AE228,12*Q228,0)))))</f>
        <v>1149.9999999998954</v>
      </c>
      <c r="T228" s="286">
        <f t="shared" ref="T228" si="498">IF(S228&gt;0,S228,R228)</f>
        <v>1149.9999999998954</v>
      </c>
      <c r="U228" s="286">
        <v>1</v>
      </c>
      <c r="V228" s="286">
        <f t="shared" ref="V228" si="499">U228*SUM(R228:S228)</f>
        <v>1149.9999999998954</v>
      </c>
      <c r="W228" s="286"/>
      <c r="X228" s="286">
        <f t="shared" ref="X228" si="500">IF(AD228&gt;AE228,0,IF(AF228&lt;AG228,P228,IF(AND(AF228&gt;=AG228,AF228&lt;=AE228),(P228-T228),IF(AND(AG228&lt;=AD228,AE228&gt;=AD228),0,IF(AF228&gt;AE228,((AG228-AD228)*12)*Q228,0)))))</f>
        <v>0</v>
      </c>
      <c r="Y228" s="286">
        <f t="shared" ref="Y228" si="501">X228*U228</f>
        <v>0</v>
      </c>
      <c r="Z228" s="286">
        <v>1</v>
      </c>
      <c r="AA228" s="286">
        <f t="shared" ref="AA228" si="502">Y228*Z228</f>
        <v>0</v>
      </c>
      <c r="AB228" s="286">
        <f t="shared" ref="AB228" si="503">IF(O228&gt;0,0,AA228+V228*Z228)*Z228</f>
        <v>1149.9999999998954</v>
      </c>
      <c r="AC228" s="286">
        <f t="shared" ref="AC228" si="504">IF(O228&gt;0,(N228-AA228)/2,IF(AD228&gt;=AG228,(((N228*U228)*Z228)-AB228)/2,((((N228*U228)*Z228)-AA228)+(((N228*U228)*Z228)-AB228))/2))</f>
        <v>7705.0000000000528</v>
      </c>
      <c r="AD228" s="286">
        <f t="shared" si="456"/>
        <v>2017.1666666666667</v>
      </c>
      <c r="AE228" s="286">
        <f t="shared" si="457"/>
        <v>2018</v>
      </c>
      <c r="AF228" s="286">
        <f t="shared" si="458"/>
        <v>2029.1666666666667</v>
      </c>
      <c r="AG228" s="286">
        <f t="shared" si="459"/>
        <v>2017</v>
      </c>
      <c r="AH228" s="286">
        <f t="shared" si="460"/>
        <v>-8.3333333333333329E-2</v>
      </c>
      <c r="AJ228" s="11">
        <f t="shared" si="438"/>
        <v>0</v>
      </c>
      <c r="AL228" s="11">
        <f t="shared" si="439"/>
        <v>1149.9999999998954</v>
      </c>
      <c r="AN228" s="11">
        <f t="shared" si="440"/>
        <v>0</v>
      </c>
      <c r="AP228" s="11">
        <f t="shared" si="441"/>
        <v>0</v>
      </c>
      <c r="AR228" s="11">
        <f t="shared" si="442"/>
        <v>7705.0000000000528</v>
      </c>
    </row>
    <row r="229" spans="1:44">
      <c r="D229" s="306"/>
      <c r="G229" s="307"/>
      <c r="H229" s="286"/>
      <c r="I229" s="308"/>
      <c r="K229" s="309"/>
      <c r="P229" s="286"/>
      <c r="Q229" s="286"/>
      <c r="R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</row>
    <row r="230" spans="1:44" s="311" customFormat="1">
      <c r="D230" s="311" t="s">
        <v>173</v>
      </c>
      <c r="F230" s="291"/>
      <c r="G230" s="291"/>
      <c r="H230" s="313"/>
      <c r="I230" s="312"/>
      <c r="J230" s="291"/>
      <c r="K230" s="290"/>
      <c r="N230" s="314">
        <f>SUM(N122:N229)</f>
        <v>777747.46957264957</v>
      </c>
      <c r="O230" s="328"/>
      <c r="P230" s="316">
        <f>SUM(P122:P229)</f>
        <v>777747.46957264957</v>
      </c>
      <c r="Q230" s="316">
        <f>SUM(Q122:Q229)</f>
        <v>6534.3266298331318</v>
      </c>
      <c r="R230" s="316">
        <f>SUM(R122:R229)</f>
        <v>24957.297335774743</v>
      </c>
      <c r="S230" s="316">
        <f>SUM(S122:S229)</f>
        <v>0</v>
      </c>
      <c r="T230" s="316">
        <f>SUM(T122:T229)</f>
        <v>24957.297335774743</v>
      </c>
      <c r="U230" s="316"/>
      <c r="V230" s="316">
        <f>SUM(V122:V229)</f>
        <v>24957.297335774743</v>
      </c>
      <c r="W230" s="316"/>
      <c r="X230" s="316">
        <f t="shared" ref="X230:AC230" si="505">SUM(X122:X229)</f>
        <v>610883.54910643096</v>
      </c>
      <c r="Y230" s="316">
        <f t="shared" si="505"/>
        <v>610883.54910643096</v>
      </c>
      <c r="Z230" s="316">
        <f t="shared" si="505"/>
        <v>98</v>
      </c>
      <c r="AA230" s="316">
        <f t="shared" si="505"/>
        <v>610883.54910643096</v>
      </c>
      <c r="AB230" s="316">
        <f t="shared" si="505"/>
        <v>635840.84644220571</v>
      </c>
      <c r="AC230" s="316">
        <f t="shared" si="505"/>
        <v>135045.27179833091</v>
      </c>
      <c r="AD230" s="316"/>
      <c r="AE230" s="316"/>
      <c r="AF230" s="316"/>
      <c r="AG230" s="316"/>
      <c r="AH230" s="316"/>
      <c r="AJ230" s="10">
        <f t="shared" ref="AJ230:AR230" si="506">SUM(AJ122:AJ229)</f>
        <v>0</v>
      </c>
      <c r="AK230" s="10">
        <f t="shared" si="506"/>
        <v>0</v>
      </c>
      <c r="AL230" s="10">
        <f t="shared" si="506"/>
        <v>24957.297335774743</v>
      </c>
      <c r="AM230" s="10">
        <f t="shared" si="506"/>
        <v>0</v>
      </c>
      <c r="AN230" s="10">
        <f t="shared" si="506"/>
        <v>0</v>
      </c>
      <c r="AO230" s="10">
        <f t="shared" si="506"/>
        <v>0</v>
      </c>
      <c r="AP230" s="10">
        <f t="shared" si="506"/>
        <v>0</v>
      </c>
      <c r="AQ230" s="10">
        <f t="shared" si="506"/>
        <v>0</v>
      </c>
      <c r="AR230" s="10">
        <f t="shared" si="506"/>
        <v>135045.27179833091</v>
      </c>
    </row>
    <row r="231" spans="1:44">
      <c r="H231" s="286"/>
      <c r="I231" s="308"/>
      <c r="K231" s="309"/>
      <c r="P231" s="286"/>
      <c r="Q231" s="286"/>
      <c r="R231" s="286"/>
      <c r="U231" s="286"/>
      <c r="V231" s="286"/>
      <c r="W231" s="286"/>
      <c r="X231" s="286">
        <f t="shared" ref="X231:X269" si="507">IF(AD231&gt;AE231,0,IF(AF231&lt;AG231,P231,IF(AND(AF231&gt;=AG231,AF231&lt;=AE231),(P231-T231),IF(AND(AG231&lt;=AD231,AE231&gt;=AD231),0,IF(AF231&gt;AE231,((AG231-AD231)*12)*Q231,0)))))</f>
        <v>0</v>
      </c>
      <c r="Y231" s="286">
        <f t="shared" ref="Y231:Y269" si="508">X231*U231</f>
        <v>0</v>
      </c>
      <c r="Z231" s="286">
        <v>1</v>
      </c>
      <c r="AA231" s="286"/>
      <c r="AB231" s="286"/>
      <c r="AC231" s="286"/>
      <c r="AD231" s="286"/>
      <c r="AE231" s="286"/>
      <c r="AF231" s="286"/>
      <c r="AG231" s="286"/>
      <c r="AH231" s="286"/>
    </row>
    <row r="232" spans="1:44">
      <c r="D232" s="311" t="s">
        <v>174</v>
      </c>
      <c r="H232" s="286"/>
      <c r="I232" s="308"/>
      <c r="K232" s="309"/>
      <c r="P232" s="286"/>
      <c r="Q232" s="286"/>
      <c r="R232" s="286"/>
      <c r="U232" s="286"/>
      <c r="V232" s="286"/>
      <c r="W232" s="286"/>
      <c r="X232" s="286">
        <f t="shared" si="507"/>
        <v>0</v>
      </c>
      <c r="Y232" s="286">
        <f t="shared" si="508"/>
        <v>0</v>
      </c>
      <c r="Z232" s="286">
        <v>1</v>
      </c>
      <c r="AA232" s="286"/>
      <c r="AB232" s="286"/>
      <c r="AC232" s="286"/>
      <c r="AD232" s="286"/>
      <c r="AE232" s="286"/>
      <c r="AF232" s="286"/>
      <c r="AG232" s="286"/>
      <c r="AH232" s="286"/>
    </row>
    <row r="233" spans="1:44">
      <c r="C233" s="282">
        <v>8</v>
      </c>
      <c r="D233" s="329" t="s">
        <v>176</v>
      </c>
      <c r="E233" s="282">
        <v>1990</v>
      </c>
      <c r="F233" s="284">
        <v>1</v>
      </c>
      <c r="G233" s="307">
        <v>0</v>
      </c>
      <c r="H233" s="286"/>
      <c r="I233" s="308" t="s">
        <v>86</v>
      </c>
      <c r="J233" s="284">
        <v>10</v>
      </c>
      <c r="K233" s="309">
        <f t="shared" ref="K233:K274" si="509">E233+J233</f>
        <v>2000</v>
      </c>
      <c r="N233" s="285">
        <v>26630</v>
      </c>
      <c r="P233" s="286">
        <f t="shared" ref="P233:P274" si="510">N233-N233*G233</f>
        <v>26630</v>
      </c>
      <c r="Q233" s="286">
        <f t="shared" ref="Q233:Q274" si="511">P233/J233/12</f>
        <v>221.91666666666666</v>
      </c>
      <c r="R233" s="286">
        <f t="shared" ref="R233:R269" si="512">IF(O233&gt;0,0,IF(OR(AD233&gt;AE233,AF233&lt;AG233),0,IF(AND(AF233&gt;=AG233,AF233&lt;=AE233),Q233*((AF233-AG233)*12),IF(AND(AG233&lt;=AD233,AE233&gt;=AD233),((AE233-AD233)*12)*Q233,IF(AF233&gt;AE233,12*Q233,0)))))</f>
        <v>0</v>
      </c>
      <c r="T233" s="286">
        <f t="shared" ref="T233:T269" si="513">IF(S233&gt;0,S233,R233)</f>
        <v>0</v>
      </c>
      <c r="U233" s="286">
        <v>1</v>
      </c>
      <c r="V233" s="286">
        <f t="shared" ref="V233:V269" si="514">U233*SUM(R233:S233)</f>
        <v>0</v>
      </c>
      <c r="W233" s="286"/>
      <c r="X233" s="286">
        <f t="shared" si="507"/>
        <v>26630</v>
      </c>
      <c r="Y233" s="286">
        <f t="shared" si="508"/>
        <v>26630</v>
      </c>
      <c r="Z233" s="286">
        <v>1</v>
      </c>
      <c r="AA233" s="286">
        <f t="shared" ref="AA233:AA269" si="515">Y233*Z233</f>
        <v>26630</v>
      </c>
      <c r="AB233" s="286">
        <f t="shared" ref="AB233:AB269" si="516">IF(O233&gt;0,0,AA233+V233*Z233)*Z233</f>
        <v>26630</v>
      </c>
      <c r="AC233" s="286">
        <f t="shared" ref="AC233:AC269" si="517">IF(O233&gt;0,(N233-AA233)/2,IF(AD233&gt;=AG233,(((N233*U233)*Z233)-AB233)/2,((((N233*U233)*Z233)-AA233)+(((N233*U233)*Z233)-AB233))/2))</f>
        <v>0</v>
      </c>
      <c r="AD233" s="286">
        <f t="shared" ref="AD233:AD274" si="518">$E233+(($F233-1)/12)</f>
        <v>1990</v>
      </c>
      <c r="AE233" s="286">
        <f t="shared" ref="AE233:AE531" si="519">($P$5+1)-($P$2/12)</f>
        <v>2018</v>
      </c>
      <c r="AF233" s="286">
        <f t="shared" ref="AF233:AF274" si="520">$K233+(($F233-1)/12)</f>
        <v>2000</v>
      </c>
      <c r="AG233" s="286">
        <f t="shared" ref="AG233:AG531" si="521">$P$4+($P$3/12)</f>
        <v>2017</v>
      </c>
      <c r="AH233" s="286">
        <f t="shared" ref="AH233:AH274" si="522">$L233+(($M233-1)/12)</f>
        <v>-8.3333333333333329E-2</v>
      </c>
      <c r="AJ233" s="11">
        <f t="shared" ref="AJ233:AJ276" si="523">+IF((AF233-AG233)&gt;3,((N233-P233)/(AF233-AG233)),(N233-P233)/3)</f>
        <v>0</v>
      </c>
      <c r="AL233" s="11">
        <f t="shared" ref="AL233:AL276" si="524">+AJ233+R233</f>
        <v>0</v>
      </c>
      <c r="AN233" s="11">
        <f t="shared" ref="AN233:AN276" si="525">+IF(AF233&lt;AG233,-AC233,0)</f>
        <v>0</v>
      </c>
      <c r="AP233" s="11">
        <f t="shared" ref="AP233:AP276" si="526">+IF(AF233&gt;AG233,IF(AJ233&gt;0,IF(O233&gt;0,(N233-AA233)/2,IF(AD233&gt;=AG233,(((N233*U233)*Z233)-(AB233+AJ233))/2,((((N233*U233)*Z233)-AA233)+(((N233*U233)*Z233)-(AB233+AJ233)))/2)),0),0)</f>
        <v>0</v>
      </c>
      <c r="AR233" s="11">
        <f t="shared" ref="AR233:AR276" si="527">+AC233+AN233+(IF(AP233&gt;0,(AP233-AC233),0))</f>
        <v>0</v>
      </c>
    </row>
    <row r="234" spans="1:44">
      <c r="C234" s="282">
        <v>1</v>
      </c>
      <c r="D234" s="329" t="s">
        <v>177</v>
      </c>
      <c r="E234" s="282">
        <v>1990</v>
      </c>
      <c r="F234" s="284">
        <v>3</v>
      </c>
      <c r="G234" s="307">
        <v>0</v>
      </c>
      <c r="H234" s="286"/>
      <c r="I234" s="308" t="s">
        <v>86</v>
      </c>
      <c r="J234" s="284">
        <v>10</v>
      </c>
      <c r="K234" s="309">
        <f t="shared" si="509"/>
        <v>2000</v>
      </c>
      <c r="N234" s="285">
        <v>3356</v>
      </c>
      <c r="P234" s="286">
        <f t="shared" si="510"/>
        <v>3356</v>
      </c>
      <c r="Q234" s="286">
        <f t="shared" si="511"/>
        <v>27.966666666666669</v>
      </c>
      <c r="R234" s="286">
        <f t="shared" si="512"/>
        <v>0</v>
      </c>
      <c r="T234" s="286">
        <f t="shared" si="513"/>
        <v>0</v>
      </c>
      <c r="U234" s="286">
        <v>1</v>
      </c>
      <c r="V234" s="286">
        <f t="shared" si="514"/>
        <v>0</v>
      </c>
      <c r="W234" s="286"/>
      <c r="X234" s="286">
        <f t="shared" si="507"/>
        <v>3356</v>
      </c>
      <c r="Y234" s="286">
        <f t="shared" si="508"/>
        <v>3356</v>
      </c>
      <c r="Z234" s="286">
        <v>1</v>
      </c>
      <c r="AA234" s="286">
        <f t="shared" si="515"/>
        <v>3356</v>
      </c>
      <c r="AB234" s="286">
        <f t="shared" si="516"/>
        <v>3356</v>
      </c>
      <c r="AC234" s="286">
        <f t="shared" si="517"/>
        <v>0</v>
      </c>
      <c r="AD234" s="286">
        <f t="shared" si="518"/>
        <v>1990.1666666666667</v>
      </c>
      <c r="AE234" s="286">
        <f t="shared" si="519"/>
        <v>2018</v>
      </c>
      <c r="AF234" s="286">
        <f t="shared" si="520"/>
        <v>2000.1666666666667</v>
      </c>
      <c r="AG234" s="286">
        <f t="shared" si="521"/>
        <v>2017</v>
      </c>
      <c r="AH234" s="286">
        <f t="shared" si="522"/>
        <v>-8.3333333333333329E-2</v>
      </c>
      <c r="AJ234" s="11">
        <f t="shared" si="523"/>
        <v>0</v>
      </c>
      <c r="AL234" s="11">
        <f t="shared" si="524"/>
        <v>0</v>
      </c>
      <c r="AN234" s="11">
        <f t="shared" si="525"/>
        <v>0</v>
      </c>
      <c r="AP234" s="11">
        <f t="shared" si="526"/>
        <v>0</v>
      </c>
      <c r="AR234" s="11">
        <f t="shared" si="527"/>
        <v>0</v>
      </c>
    </row>
    <row r="235" spans="1:44">
      <c r="C235" s="282">
        <v>2</v>
      </c>
      <c r="D235" s="329" t="s">
        <v>175</v>
      </c>
      <c r="E235" s="282">
        <v>1995</v>
      </c>
      <c r="F235" s="284">
        <v>5</v>
      </c>
      <c r="G235" s="307">
        <v>0</v>
      </c>
      <c r="H235" s="286"/>
      <c r="I235" s="308" t="s">
        <v>86</v>
      </c>
      <c r="J235" s="284">
        <v>10</v>
      </c>
      <c r="K235" s="309">
        <f t="shared" si="509"/>
        <v>2005</v>
      </c>
      <c r="N235" s="285">
        <v>6050</v>
      </c>
      <c r="P235" s="286">
        <f t="shared" si="510"/>
        <v>6050</v>
      </c>
      <c r="Q235" s="286">
        <f t="shared" si="511"/>
        <v>50.416666666666664</v>
      </c>
      <c r="R235" s="286">
        <f t="shared" si="512"/>
        <v>0</v>
      </c>
      <c r="T235" s="286">
        <f t="shared" si="513"/>
        <v>0</v>
      </c>
      <c r="U235" s="286">
        <v>1</v>
      </c>
      <c r="V235" s="286">
        <f t="shared" si="514"/>
        <v>0</v>
      </c>
      <c r="W235" s="286"/>
      <c r="X235" s="286">
        <f t="shared" si="507"/>
        <v>6050</v>
      </c>
      <c r="Y235" s="286">
        <f t="shared" si="508"/>
        <v>6050</v>
      </c>
      <c r="Z235" s="286">
        <v>1</v>
      </c>
      <c r="AA235" s="286">
        <f t="shared" si="515"/>
        <v>6050</v>
      </c>
      <c r="AB235" s="286">
        <f t="shared" si="516"/>
        <v>6050</v>
      </c>
      <c r="AC235" s="286">
        <f t="shared" si="517"/>
        <v>0</v>
      </c>
      <c r="AD235" s="286">
        <f t="shared" si="518"/>
        <v>1995.3333333333333</v>
      </c>
      <c r="AE235" s="286">
        <f t="shared" si="519"/>
        <v>2018</v>
      </c>
      <c r="AF235" s="286">
        <f t="shared" si="520"/>
        <v>2005.3333333333333</v>
      </c>
      <c r="AG235" s="286">
        <f t="shared" si="521"/>
        <v>2017</v>
      </c>
      <c r="AH235" s="286">
        <f t="shared" si="522"/>
        <v>-8.3333333333333329E-2</v>
      </c>
      <c r="AJ235" s="11">
        <f t="shared" si="523"/>
        <v>0</v>
      </c>
      <c r="AL235" s="11">
        <f t="shared" si="524"/>
        <v>0</v>
      </c>
      <c r="AN235" s="11">
        <f t="shared" si="525"/>
        <v>0</v>
      </c>
      <c r="AP235" s="11">
        <f t="shared" si="526"/>
        <v>0</v>
      </c>
      <c r="AR235" s="11">
        <f t="shared" si="527"/>
        <v>0</v>
      </c>
    </row>
    <row r="236" spans="1:44">
      <c r="C236" s="282">
        <v>2</v>
      </c>
      <c r="D236" s="329" t="s">
        <v>178</v>
      </c>
      <c r="E236" s="282">
        <v>1996</v>
      </c>
      <c r="F236" s="284">
        <v>6</v>
      </c>
      <c r="G236" s="307">
        <v>0</v>
      </c>
      <c r="H236" s="286"/>
      <c r="I236" s="308" t="s">
        <v>86</v>
      </c>
      <c r="J236" s="284">
        <v>10</v>
      </c>
      <c r="K236" s="309">
        <f t="shared" ref="K236:K237" si="528">E236+J236</f>
        <v>2006</v>
      </c>
      <c r="N236" s="285">
        <v>1700</v>
      </c>
      <c r="P236" s="286">
        <f t="shared" si="510"/>
        <v>1700</v>
      </c>
      <c r="Q236" s="286">
        <f t="shared" si="511"/>
        <v>14.166666666666666</v>
      </c>
      <c r="R236" s="286">
        <f t="shared" si="512"/>
        <v>0</v>
      </c>
      <c r="T236" s="286">
        <f t="shared" si="513"/>
        <v>0</v>
      </c>
      <c r="U236" s="286">
        <v>1</v>
      </c>
      <c r="V236" s="286">
        <f t="shared" si="514"/>
        <v>0</v>
      </c>
      <c r="W236" s="286"/>
      <c r="X236" s="286">
        <f t="shared" si="507"/>
        <v>1700</v>
      </c>
      <c r="Y236" s="286">
        <f t="shared" si="508"/>
        <v>1700</v>
      </c>
      <c r="Z236" s="286">
        <v>1</v>
      </c>
      <c r="AA236" s="286">
        <f t="shared" si="515"/>
        <v>1700</v>
      </c>
      <c r="AB236" s="286">
        <f t="shared" si="516"/>
        <v>1700</v>
      </c>
      <c r="AC236" s="286">
        <f t="shared" si="517"/>
        <v>0</v>
      </c>
      <c r="AD236" s="286">
        <f t="shared" si="518"/>
        <v>1996.4166666666667</v>
      </c>
      <c r="AE236" s="286">
        <f t="shared" si="519"/>
        <v>2018</v>
      </c>
      <c r="AF236" s="286">
        <f t="shared" si="520"/>
        <v>2006.4166666666667</v>
      </c>
      <c r="AG236" s="286">
        <f t="shared" si="521"/>
        <v>2017</v>
      </c>
      <c r="AH236" s="286">
        <f t="shared" si="522"/>
        <v>-8.3333333333333329E-2</v>
      </c>
      <c r="AJ236" s="11">
        <f t="shared" si="523"/>
        <v>0</v>
      </c>
      <c r="AL236" s="11">
        <f t="shared" si="524"/>
        <v>0</v>
      </c>
      <c r="AN236" s="11">
        <f t="shared" si="525"/>
        <v>0</v>
      </c>
      <c r="AP236" s="11">
        <f t="shared" si="526"/>
        <v>0</v>
      </c>
      <c r="AR236" s="11">
        <f t="shared" si="527"/>
        <v>0</v>
      </c>
    </row>
    <row r="237" spans="1:44">
      <c r="A237" s="282">
        <v>90984</v>
      </c>
      <c r="C237" s="282">
        <v>2</v>
      </c>
      <c r="D237" s="329" t="s">
        <v>178</v>
      </c>
      <c r="E237" s="282">
        <v>1998</v>
      </c>
      <c r="F237" s="284">
        <v>9</v>
      </c>
      <c r="G237" s="307">
        <v>0</v>
      </c>
      <c r="H237" s="286"/>
      <c r="I237" s="308" t="s">
        <v>86</v>
      </c>
      <c r="J237" s="284">
        <v>10</v>
      </c>
      <c r="K237" s="309">
        <f t="shared" si="528"/>
        <v>2008</v>
      </c>
      <c r="N237" s="285">
        <v>800</v>
      </c>
      <c r="P237" s="286">
        <f t="shared" si="510"/>
        <v>800</v>
      </c>
      <c r="Q237" s="286">
        <f t="shared" si="511"/>
        <v>6.666666666666667</v>
      </c>
      <c r="R237" s="286">
        <f t="shared" ref="R237" si="529">IF(O237&gt;0,0,IF(OR(AD237&gt;AE237,AF237&lt;AG237),0,IF(AND(AF237&gt;=AG237,AF237&lt;=AE237),Q237*((AF237-AG237)*12),IF(AND(AG237&lt;=AD237,AE237&gt;=AD237),((AE237-AD237)*12)*Q237,IF(AF237&gt;AE237,12*Q237,0)))))</f>
        <v>0</v>
      </c>
      <c r="T237" s="286">
        <f t="shared" ref="T237" si="530">IF(S237&gt;0,S237,R237)</f>
        <v>0</v>
      </c>
      <c r="U237" s="286">
        <v>1</v>
      </c>
      <c r="V237" s="286">
        <f t="shared" ref="V237" si="531">U237*SUM(R237:S237)</f>
        <v>0</v>
      </c>
      <c r="W237" s="286"/>
      <c r="X237" s="286">
        <f t="shared" ref="X237" si="532">IF(AD237&gt;AE237,0,IF(AF237&lt;AG237,P237,IF(AND(AF237&gt;=AG237,AF237&lt;=AE237),(P237-T237),IF(AND(AG237&lt;=AD237,AE237&gt;=AD237),0,IF(AF237&gt;AE237,((AG237-AD237)*12)*Q237,0)))))</f>
        <v>800</v>
      </c>
      <c r="Y237" s="286">
        <f t="shared" ref="Y237" si="533">X237*U237</f>
        <v>800</v>
      </c>
      <c r="Z237" s="286">
        <v>1</v>
      </c>
      <c r="AA237" s="286">
        <f t="shared" ref="AA237" si="534">Y237*Z237</f>
        <v>800</v>
      </c>
      <c r="AB237" s="286">
        <f t="shared" ref="AB237" si="535">IF(O237&gt;0,0,AA237+V237*Z237)*Z237</f>
        <v>800</v>
      </c>
      <c r="AC237" s="286">
        <f t="shared" ref="AC237" si="536">IF(O237&gt;0,(N237-AA237)/2,IF(AD237&gt;=AG237,(((N237*U237)*Z237)-AB237)/2,((((N237*U237)*Z237)-AA237)+(((N237*U237)*Z237)-AB237))/2))</f>
        <v>0</v>
      </c>
      <c r="AD237" s="286">
        <f t="shared" si="518"/>
        <v>1998.6666666666667</v>
      </c>
      <c r="AE237" s="286">
        <f t="shared" si="519"/>
        <v>2018</v>
      </c>
      <c r="AF237" s="286">
        <f t="shared" si="520"/>
        <v>2008.6666666666667</v>
      </c>
      <c r="AG237" s="286">
        <f t="shared" si="521"/>
        <v>2017</v>
      </c>
      <c r="AH237" s="286">
        <f t="shared" si="522"/>
        <v>-8.3333333333333329E-2</v>
      </c>
      <c r="AJ237" s="11">
        <f t="shared" si="523"/>
        <v>0</v>
      </c>
      <c r="AL237" s="11">
        <f t="shared" si="524"/>
        <v>0</v>
      </c>
      <c r="AN237" s="11">
        <f t="shared" si="525"/>
        <v>0</v>
      </c>
      <c r="AP237" s="11">
        <f t="shared" si="526"/>
        <v>0</v>
      </c>
      <c r="AR237" s="11">
        <f t="shared" si="527"/>
        <v>0</v>
      </c>
    </row>
    <row r="238" spans="1:44">
      <c r="C238" s="282">
        <v>3</v>
      </c>
      <c r="D238" s="329" t="s">
        <v>179</v>
      </c>
      <c r="E238" s="282">
        <v>2000</v>
      </c>
      <c r="F238" s="284">
        <v>6</v>
      </c>
      <c r="G238" s="307">
        <v>0</v>
      </c>
      <c r="H238" s="286"/>
      <c r="I238" s="308" t="s">
        <v>86</v>
      </c>
      <c r="J238" s="284">
        <v>10</v>
      </c>
      <c r="K238" s="309">
        <f t="shared" si="509"/>
        <v>2010</v>
      </c>
      <c r="N238" s="285">
        <v>9584</v>
      </c>
      <c r="P238" s="286">
        <f t="shared" si="510"/>
        <v>9584</v>
      </c>
      <c r="Q238" s="286">
        <f t="shared" si="511"/>
        <v>79.86666666666666</v>
      </c>
      <c r="R238" s="286">
        <f t="shared" si="512"/>
        <v>0</v>
      </c>
      <c r="T238" s="286">
        <f t="shared" si="513"/>
        <v>0</v>
      </c>
      <c r="U238" s="286">
        <v>1</v>
      </c>
      <c r="V238" s="286">
        <f t="shared" si="514"/>
        <v>0</v>
      </c>
      <c r="W238" s="286"/>
      <c r="X238" s="286">
        <f t="shared" si="507"/>
        <v>9584</v>
      </c>
      <c r="Y238" s="286">
        <f t="shared" si="508"/>
        <v>9584</v>
      </c>
      <c r="Z238" s="286">
        <v>1</v>
      </c>
      <c r="AA238" s="286">
        <f t="shared" si="515"/>
        <v>9584</v>
      </c>
      <c r="AB238" s="286">
        <f t="shared" si="516"/>
        <v>9584</v>
      </c>
      <c r="AC238" s="286">
        <f t="shared" si="517"/>
        <v>0</v>
      </c>
      <c r="AD238" s="286">
        <f t="shared" si="518"/>
        <v>2000.4166666666667</v>
      </c>
      <c r="AE238" s="286">
        <f t="shared" si="519"/>
        <v>2018</v>
      </c>
      <c r="AF238" s="286">
        <f t="shared" si="520"/>
        <v>2010.4166666666667</v>
      </c>
      <c r="AG238" s="286">
        <f t="shared" si="521"/>
        <v>2017</v>
      </c>
      <c r="AH238" s="286">
        <f t="shared" si="522"/>
        <v>-8.3333333333333329E-2</v>
      </c>
      <c r="AJ238" s="11">
        <f t="shared" si="523"/>
        <v>0</v>
      </c>
      <c r="AL238" s="11">
        <f t="shared" si="524"/>
        <v>0</v>
      </c>
      <c r="AN238" s="11">
        <f t="shared" si="525"/>
        <v>0</v>
      </c>
      <c r="AP238" s="11">
        <f t="shared" si="526"/>
        <v>0</v>
      </c>
      <c r="AR238" s="11">
        <f t="shared" si="527"/>
        <v>0</v>
      </c>
    </row>
    <row r="239" spans="1:44">
      <c r="C239" s="282">
        <v>3</v>
      </c>
      <c r="D239" s="329" t="s">
        <v>179</v>
      </c>
      <c r="E239" s="282">
        <v>2002</v>
      </c>
      <c r="F239" s="284">
        <v>12</v>
      </c>
      <c r="G239" s="307">
        <v>0</v>
      </c>
      <c r="H239" s="286"/>
      <c r="I239" s="308" t="s">
        <v>86</v>
      </c>
      <c r="J239" s="284">
        <v>10</v>
      </c>
      <c r="K239" s="309">
        <f t="shared" si="509"/>
        <v>2012</v>
      </c>
      <c r="N239" s="285">
        <v>7624</v>
      </c>
      <c r="P239" s="286">
        <f t="shared" si="510"/>
        <v>7624</v>
      </c>
      <c r="Q239" s="286">
        <f t="shared" si="511"/>
        <v>63.533333333333331</v>
      </c>
      <c r="R239" s="286">
        <f t="shared" si="512"/>
        <v>0</v>
      </c>
      <c r="T239" s="286">
        <f t="shared" si="513"/>
        <v>0</v>
      </c>
      <c r="U239" s="286">
        <v>1</v>
      </c>
      <c r="V239" s="286">
        <f t="shared" si="514"/>
        <v>0</v>
      </c>
      <c r="W239" s="286"/>
      <c r="X239" s="286">
        <f t="shared" si="507"/>
        <v>7624</v>
      </c>
      <c r="Y239" s="286">
        <f t="shared" si="508"/>
        <v>7624</v>
      </c>
      <c r="Z239" s="286">
        <v>1</v>
      </c>
      <c r="AA239" s="286">
        <f t="shared" si="515"/>
        <v>7624</v>
      </c>
      <c r="AB239" s="286">
        <f t="shared" si="516"/>
        <v>7624</v>
      </c>
      <c r="AC239" s="286">
        <f t="shared" si="517"/>
        <v>0</v>
      </c>
      <c r="AD239" s="286">
        <f t="shared" si="518"/>
        <v>2002.9166666666667</v>
      </c>
      <c r="AE239" s="286">
        <f t="shared" si="519"/>
        <v>2018</v>
      </c>
      <c r="AF239" s="286">
        <f t="shared" si="520"/>
        <v>2012.9166666666667</v>
      </c>
      <c r="AG239" s="286">
        <f t="shared" si="521"/>
        <v>2017</v>
      </c>
      <c r="AH239" s="286">
        <f t="shared" si="522"/>
        <v>-8.3333333333333329E-2</v>
      </c>
      <c r="AJ239" s="11">
        <f t="shared" si="523"/>
        <v>0</v>
      </c>
      <c r="AL239" s="11">
        <f t="shared" si="524"/>
        <v>0</v>
      </c>
      <c r="AN239" s="11">
        <f t="shared" si="525"/>
        <v>0</v>
      </c>
      <c r="AP239" s="11">
        <f t="shared" si="526"/>
        <v>0</v>
      </c>
      <c r="AR239" s="11">
        <f t="shared" si="527"/>
        <v>0</v>
      </c>
    </row>
    <row r="240" spans="1:44">
      <c r="C240" s="282">
        <v>3</v>
      </c>
      <c r="D240" s="329" t="s">
        <v>179</v>
      </c>
      <c r="E240" s="282">
        <v>2002</v>
      </c>
      <c r="F240" s="284">
        <v>12</v>
      </c>
      <c r="G240" s="307">
        <v>0</v>
      </c>
      <c r="H240" s="286"/>
      <c r="I240" s="308" t="s">
        <v>86</v>
      </c>
      <c r="J240" s="284">
        <v>10</v>
      </c>
      <c r="K240" s="309">
        <f t="shared" si="509"/>
        <v>2012</v>
      </c>
      <c r="N240" s="285">
        <v>8598</v>
      </c>
      <c r="P240" s="286">
        <f t="shared" si="510"/>
        <v>8598</v>
      </c>
      <c r="Q240" s="286">
        <f t="shared" si="511"/>
        <v>71.649999999999991</v>
      </c>
      <c r="R240" s="286">
        <f t="shared" si="512"/>
        <v>0</v>
      </c>
      <c r="T240" s="286">
        <f t="shared" si="513"/>
        <v>0</v>
      </c>
      <c r="U240" s="286">
        <v>1</v>
      </c>
      <c r="V240" s="286">
        <f t="shared" si="514"/>
        <v>0</v>
      </c>
      <c r="W240" s="286"/>
      <c r="X240" s="286">
        <f t="shared" si="507"/>
        <v>8598</v>
      </c>
      <c r="Y240" s="286">
        <f t="shared" si="508"/>
        <v>8598</v>
      </c>
      <c r="Z240" s="286">
        <v>1</v>
      </c>
      <c r="AA240" s="286">
        <f t="shared" si="515"/>
        <v>8598</v>
      </c>
      <c r="AB240" s="286">
        <f t="shared" si="516"/>
        <v>8598</v>
      </c>
      <c r="AC240" s="286">
        <f t="shared" si="517"/>
        <v>0</v>
      </c>
      <c r="AD240" s="286">
        <f t="shared" si="518"/>
        <v>2002.9166666666667</v>
      </c>
      <c r="AE240" s="286">
        <f t="shared" si="519"/>
        <v>2018</v>
      </c>
      <c r="AF240" s="286">
        <f t="shared" si="520"/>
        <v>2012.9166666666667</v>
      </c>
      <c r="AG240" s="286">
        <f t="shared" si="521"/>
        <v>2017</v>
      </c>
      <c r="AH240" s="286">
        <f t="shared" si="522"/>
        <v>-8.3333333333333329E-2</v>
      </c>
      <c r="AJ240" s="11">
        <f t="shared" si="523"/>
        <v>0</v>
      </c>
      <c r="AL240" s="11">
        <f t="shared" si="524"/>
        <v>0</v>
      </c>
      <c r="AN240" s="11">
        <f t="shared" si="525"/>
        <v>0</v>
      </c>
      <c r="AP240" s="11">
        <f t="shared" si="526"/>
        <v>0</v>
      </c>
      <c r="AR240" s="11">
        <f t="shared" si="527"/>
        <v>0</v>
      </c>
    </row>
    <row r="241" spans="3:44">
      <c r="C241" s="282">
        <v>1</v>
      </c>
      <c r="D241" s="329" t="s">
        <v>180</v>
      </c>
      <c r="E241" s="282">
        <v>2002</v>
      </c>
      <c r="F241" s="284">
        <v>12</v>
      </c>
      <c r="G241" s="307">
        <v>0</v>
      </c>
      <c r="H241" s="286"/>
      <c r="I241" s="308" t="s">
        <v>86</v>
      </c>
      <c r="J241" s="284">
        <v>10</v>
      </c>
      <c r="K241" s="309">
        <f t="shared" si="509"/>
        <v>2012</v>
      </c>
      <c r="N241" s="285">
        <v>4409</v>
      </c>
      <c r="P241" s="286">
        <f t="shared" si="510"/>
        <v>4409</v>
      </c>
      <c r="Q241" s="286">
        <f t="shared" si="511"/>
        <v>36.741666666666667</v>
      </c>
      <c r="R241" s="286">
        <f t="shared" si="512"/>
        <v>0</v>
      </c>
      <c r="T241" s="286">
        <f t="shared" si="513"/>
        <v>0</v>
      </c>
      <c r="U241" s="286">
        <v>1</v>
      </c>
      <c r="V241" s="286">
        <f t="shared" si="514"/>
        <v>0</v>
      </c>
      <c r="W241" s="286"/>
      <c r="X241" s="286">
        <f t="shared" si="507"/>
        <v>4409</v>
      </c>
      <c r="Y241" s="286">
        <f t="shared" si="508"/>
        <v>4409</v>
      </c>
      <c r="Z241" s="286">
        <v>1</v>
      </c>
      <c r="AA241" s="286">
        <f t="shared" si="515"/>
        <v>4409</v>
      </c>
      <c r="AB241" s="286">
        <f t="shared" si="516"/>
        <v>4409</v>
      </c>
      <c r="AC241" s="286">
        <f t="shared" si="517"/>
        <v>0</v>
      </c>
      <c r="AD241" s="286">
        <f t="shared" si="518"/>
        <v>2002.9166666666667</v>
      </c>
      <c r="AE241" s="286">
        <f t="shared" si="519"/>
        <v>2018</v>
      </c>
      <c r="AF241" s="286">
        <f t="shared" si="520"/>
        <v>2012.9166666666667</v>
      </c>
      <c r="AG241" s="286">
        <f t="shared" si="521"/>
        <v>2017</v>
      </c>
      <c r="AH241" s="286">
        <f t="shared" si="522"/>
        <v>-8.3333333333333329E-2</v>
      </c>
      <c r="AJ241" s="11">
        <f t="shared" si="523"/>
        <v>0</v>
      </c>
      <c r="AL241" s="11">
        <f t="shared" si="524"/>
        <v>0</v>
      </c>
      <c r="AN241" s="11">
        <f t="shared" si="525"/>
        <v>0</v>
      </c>
      <c r="AP241" s="11">
        <f t="shared" si="526"/>
        <v>0</v>
      </c>
      <c r="AR241" s="11">
        <f t="shared" si="527"/>
        <v>0</v>
      </c>
    </row>
    <row r="242" spans="3:44">
      <c r="C242" s="282">
        <v>7</v>
      </c>
      <c r="D242" s="329" t="s">
        <v>181</v>
      </c>
      <c r="E242" s="282">
        <v>2002</v>
      </c>
      <c r="F242" s="284">
        <v>12</v>
      </c>
      <c r="G242" s="307">
        <v>0</v>
      </c>
      <c r="H242" s="286"/>
      <c r="I242" s="308" t="s">
        <v>86</v>
      </c>
      <c r="J242" s="284">
        <v>10</v>
      </c>
      <c r="K242" s="309">
        <f t="shared" si="509"/>
        <v>2012</v>
      </c>
      <c r="N242" s="285">
        <v>12478</v>
      </c>
      <c r="P242" s="286">
        <f t="shared" si="510"/>
        <v>12478</v>
      </c>
      <c r="Q242" s="286">
        <f t="shared" si="511"/>
        <v>103.98333333333333</v>
      </c>
      <c r="R242" s="286">
        <f t="shared" si="512"/>
        <v>0</v>
      </c>
      <c r="T242" s="286">
        <f t="shared" si="513"/>
        <v>0</v>
      </c>
      <c r="U242" s="286">
        <v>1</v>
      </c>
      <c r="V242" s="286">
        <f t="shared" si="514"/>
        <v>0</v>
      </c>
      <c r="W242" s="286"/>
      <c r="X242" s="286">
        <f t="shared" si="507"/>
        <v>12478</v>
      </c>
      <c r="Y242" s="286">
        <f t="shared" si="508"/>
        <v>12478</v>
      </c>
      <c r="Z242" s="286">
        <v>1</v>
      </c>
      <c r="AA242" s="286">
        <f t="shared" si="515"/>
        <v>12478</v>
      </c>
      <c r="AB242" s="286">
        <f t="shared" si="516"/>
        <v>12478</v>
      </c>
      <c r="AC242" s="286">
        <f t="shared" si="517"/>
        <v>0</v>
      </c>
      <c r="AD242" s="286">
        <f t="shared" si="518"/>
        <v>2002.9166666666667</v>
      </c>
      <c r="AE242" s="286">
        <f t="shared" si="519"/>
        <v>2018</v>
      </c>
      <c r="AF242" s="286">
        <f t="shared" si="520"/>
        <v>2012.9166666666667</v>
      </c>
      <c r="AG242" s="286">
        <f t="shared" si="521"/>
        <v>2017</v>
      </c>
      <c r="AH242" s="286">
        <f t="shared" si="522"/>
        <v>-8.3333333333333329E-2</v>
      </c>
      <c r="AJ242" s="11">
        <f t="shared" si="523"/>
        <v>0</v>
      </c>
      <c r="AL242" s="11">
        <f t="shared" si="524"/>
        <v>0</v>
      </c>
      <c r="AN242" s="11">
        <f t="shared" si="525"/>
        <v>0</v>
      </c>
      <c r="AP242" s="11">
        <f t="shared" si="526"/>
        <v>0</v>
      </c>
      <c r="AR242" s="11">
        <f t="shared" si="527"/>
        <v>0</v>
      </c>
    </row>
    <row r="243" spans="3:44">
      <c r="C243" s="282">
        <v>5</v>
      </c>
      <c r="D243" s="329" t="s">
        <v>182</v>
      </c>
      <c r="E243" s="282">
        <v>2002</v>
      </c>
      <c r="F243" s="284">
        <v>12</v>
      </c>
      <c r="G243" s="307">
        <v>0</v>
      </c>
      <c r="H243" s="286"/>
      <c r="I243" s="308" t="s">
        <v>86</v>
      </c>
      <c r="J243" s="284">
        <v>10</v>
      </c>
      <c r="K243" s="309">
        <f t="shared" si="509"/>
        <v>2012</v>
      </c>
      <c r="N243" s="285">
        <f>16328/2</f>
        <v>8164</v>
      </c>
      <c r="P243" s="286">
        <f t="shared" si="510"/>
        <v>8164</v>
      </c>
      <c r="Q243" s="286">
        <f t="shared" si="511"/>
        <v>68.033333333333331</v>
      </c>
      <c r="R243" s="286">
        <f t="shared" si="512"/>
        <v>0</v>
      </c>
      <c r="T243" s="286">
        <f t="shared" si="513"/>
        <v>0</v>
      </c>
      <c r="U243" s="286">
        <v>1</v>
      </c>
      <c r="V243" s="286">
        <f t="shared" si="514"/>
        <v>0</v>
      </c>
      <c r="W243" s="286"/>
      <c r="X243" s="286">
        <f t="shared" si="507"/>
        <v>8164</v>
      </c>
      <c r="Y243" s="286">
        <f t="shared" si="508"/>
        <v>8164</v>
      </c>
      <c r="Z243" s="286">
        <v>1</v>
      </c>
      <c r="AA243" s="286">
        <f t="shared" si="515"/>
        <v>8164</v>
      </c>
      <c r="AB243" s="286">
        <f t="shared" si="516"/>
        <v>8164</v>
      </c>
      <c r="AC243" s="286">
        <f t="shared" si="517"/>
        <v>0</v>
      </c>
      <c r="AD243" s="286">
        <f t="shared" si="518"/>
        <v>2002.9166666666667</v>
      </c>
      <c r="AE243" s="286">
        <f t="shared" si="519"/>
        <v>2018</v>
      </c>
      <c r="AF243" s="286">
        <f t="shared" si="520"/>
        <v>2012.9166666666667</v>
      </c>
      <c r="AG243" s="286">
        <f t="shared" si="521"/>
        <v>2017</v>
      </c>
      <c r="AH243" s="286">
        <f t="shared" si="522"/>
        <v>-8.3333333333333329E-2</v>
      </c>
      <c r="AJ243" s="11">
        <f t="shared" si="523"/>
        <v>0</v>
      </c>
      <c r="AL243" s="11">
        <f t="shared" si="524"/>
        <v>0</v>
      </c>
      <c r="AN243" s="11">
        <f t="shared" si="525"/>
        <v>0</v>
      </c>
      <c r="AP243" s="11">
        <f t="shared" si="526"/>
        <v>0</v>
      </c>
      <c r="AR243" s="11">
        <f t="shared" si="527"/>
        <v>0</v>
      </c>
    </row>
    <row r="244" spans="3:44">
      <c r="C244" s="282">
        <v>2</v>
      </c>
      <c r="D244" s="329" t="s">
        <v>183</v>
      </c>
      <c r="E244" s="282">
        <v>2002</v>
      </c>
      <c r="F244" s="284">
        <v>12</v>
      </c>
      <c r="G244" s="307">
        <v>0</v>
      </c>
      <c r="H244" s="286"/>
      <c r="I244" s="308" t="s">
        <v>86</v>
      </c>
      <c r="J244" s="284">
        <v>10</v>
      </c>
      <c r="K244" s="309">
        <f t="shared" si="509"/>
        <v>2012</v>
      </c>
      <c r="N244" s="285">
        <v>5827</v>
      </c>
      <c r="P244" s="286">
        <f t="shared" si="510"/>
        <v>5827</v>
      </c>
      <c r="Q244" s="286">
        <f t="shared" si="511"/>
        <v>48.558333333333337</v>
      </c>
      <c r="R244" s="286">
        <f t="shared" si="512"/>
        <v>0</v>
      </c>
      <c r="T244" s="286">
        <f t="shared" si="513"/>
        <v>0</v>
      </c>
      <c r="U244" s="286">
        <v>1</v>
      </c>
      <c r="V244" s="286">
        <f t="shared" si="514"/>
        <v>0</v>
      </c>
      <c r="W244" s="286"/>
      <c r="X244" s="286">
        <f t="shared" si="507"/>
        <v>5827</v>
      </c>
      <c r="Y244" s="286">
        <f t="shared" si="508"/>
        <v>5827</v>
      </c>
      <c r="Z244" s="286">
        <v>1</v>
      </c>
      <c r="AA244" s="286">
        <f t="shared" si="515"/>
        <v>5827</v>
      </c>
      <c r="AB244" s="286">
        <f t="shared" si="516"/>
        <v>5827</v>
      </c>
      <c r="AC244" s="286">
        <f t="shared" si="517"/>
        <v>0</v>
      </c>
      <c r="AD244" s="286">
        <f t="shared" si="518"/>
        <v>2002.9166666666667</v>
      </c>
      <c r="AE244" s="286">
        <f t="shared" si="519"/>
        <v>2018</v>
      </c>
      <c r="AF244" s="286">
        <f t="shared" si="520"/>
        <v>2012.9166666666667</v>
      </c>
      <c r="AG244" s="286">
        <f t="shared" si="521"/>
        <v>2017</v>
      </c>
      <c r="AH244" s="286">
        <f t="shared" si="522"/>
        <v>-8.3333333333333329E-2</v>
      </c>
      <c r="AJ244" s="11">
        <f t="shared" si="523"/>
        <v>0</v>
      </c>
      <c r="AL244" s="11">
        <f t="shared" si="524"/>
        <v>0</v>
      </c>
      <c r="AN244" s="11">
        <f t="shared" si="525"/>
        <v>0</v>
      </c>
      <c r="AP244" s="11">
        <f t="shared" si="526"/>
        <v>0</v>
      </c>
      <c r="AR244" s="11">
        <f t="shared" si="527"/>
        <v>0</v>
      </c>
    </row>
    <row r="245" spans="3:44">
      <c r="D245" s="329" t="s">
        <v>184</v>
      </c>
      <c r="E245" s="282">
        <v>2002</v>
      </c>
      <c r="F245" s="284">
        <v>12</v>
      </c>
      <c r="G245" s="307">
        <v>0</v>
      </c>
      <c r="H245" s="286"/>
      <c r="I245" s="308" t="s">
        <v>86</v>
      </c>
      <c r="J245" s="284">
        <v>10</v>
      </c>
      <c r="K245" s="309">
        <f t="shared" si="509"/>
        <v>2012</v>
      </c>
      <c r="N245" s="285">
        <v>1690</v>
      </c>
      <c r="P245" s="286">
        <f t="shared" si="510"/>
        <v>1690</v>
      </c>
      <c r="Q245" s="286">
        <f t="shared" si="511"/>
        <v>14.083333333333334</v>
      </c>
      <c r="R245" s="286">
        <f t="shared" si="512"/>
        <v>0</v>
      </c>
      <c r="T245" s="286">
        <f t="shared" si="513"/>
        <v>0</v>
      </c>
      <c r="U245" s="286">
        <v>1</v>
      </c>
      <c r="V245" s="286">
        <f t="shared" si="514"/>
        <v>0</v>
      </c>
      <c r="W245" s="286"/>
      <c r="X245" s="286">
        <f t="shared" si="507"/>
        <v>1690</v>
      </c>
      <c r="Y245" s="286">
        <f t="shared" si="508"/>
        <v>1690</v>
      </c>
      <c r="Z245" s="286">
        <v>1</v>
      </c>
      <c r="AA245" s="286">
        <f t="shared" si="515"/>
        <v>1690</v>
      </c>
      <c r="AB245" s="286">
        <f t="shared" si="516"/>
        <v>1690</v>
      </c>
      <c r="AC245" s="286">
        <f t="shared" si="517"/>
        <v>0</v>
      </c>
      <c r="AD245" s="286">
        <f t="shared" si="518"/>
        <v>2002.9166666666667</v>
      </c>
      <c r="AE245" s="286">
        <f t="shared" si="519"/>
        <v>2018</v>
      </c>
      <c r="AF245" s="286">
        <f t="shared" si="520"/>
        <v>2012.9166666666667</v>
      </c>
      <c r="AG245" s="286">
        <f t="shared" si="521"/>
        <v>2017</v>
      </c>
      <c r="AH245" s="286">
        <f t="shared" si="522"/>
        <v>-8.3333333333333329E-2</v>
      </c>
      <c r="AJ245" s="11">
        <f t="shared" si="523"/>
        <v>0</v>
      </c>
      <c r="AL245" s="11">
        <f t="shared" si="524"/>
        <v>0</v>
      </c>
      <c r="AN245" s="11">
        <f t="shared" si="525"/>
        <v>0</v>
      </c>
      <c r="AP245" s="11">
        <f t="shared" si="526"/>
        <v>0</v>
      </c>
      <c r="AR245" s="11">
        <f t="shared" si="527"/>
        <v>0</v>
      </c>
    </row>
    <row r="246" spans="3:44">
      <c r="C246" s="282">
        <v>4</v>
      </c>
      <c r="D246" s="329" t="s">
        <v>180</v>
      </c>
      <c r="E246" s="282">
        <v>2003</v>
      </c>
      <c r="F246" s="284">
        <v>12</v>
      </c>
      <c r="G246" s="307">
        <v>0</v>
      </c>
      <c r="H246" s="286"/>
      <c r="I246" s="308" t="s">
        <v>86</v>
      </c>
      <c r="J246" s="284">
        <v>10</v>
      </c>
      <c r="K246" s="309">
        <f t="shared" si="509"/>
        <v>2013</v>
      </c>
      <c r="N246" s="285">
        <v>16842</v>
      </c>
      <c r="P246" s="286">
        <f t="shared" si="510"/>
        <v>16842</v>
      </c>
      <c r="Q246" s="286">
        <f t="shared" si="511"/>
        <v>140.35</v>
      </c>
      <c r="R246" s="286">
        <f t="shared" si="512"/>
        <v>0</v>
      </c>
      <c r="T246" s="286">
        <f t="shared" si="513"/>
        <v>0</v>
      </c>
      <c r="U246" s="286">
        <v>1</v>
      </c>
      <c r="V246" s="286">
        <f t="shared" si="514"/>
        <v>0</v>
      </c>
      <c r="W246" s="286"/>
      <c r="X246" s="286">
        <f t="shared" si="507"/>
        <v>16842</v>
      </c>
      <c r="Y246" s="286">
        <f t="shared" si="508"/>
        <v>16842</v>
      </c>
      <c r="Z246" s="286">
        <v>1</v>
      </c>
      <c r="AA246" s="286">
        <f t="shared" si="515"/>
        <v>16842</v>
      </c>
      <c r="AB246" s="286">
        <f t="shared" si="516"/>
        <v>16842</v>
      </c>
      <c r="AC246" s="286">
        <f t="shared" si="517"/>
        <v>0</v>
      </c>
      <c r="AD246" s="286">
        <f t="shared" si="518"/>
        <v>2003.9166666666667</v>
      </c>
      <c r="AE246" s="286">
        <f t="shared" si="519"/>
        <v>2018</v>
      </c>
      <c r="AF246" s="286">
        <f t="shared" si="520"/>
        <v>2013.9166666666667</v>
      </c>
      <c r="AG246" s="286">
        <f t="shared" si="521"/>
        <v>2017</v>
      </c>
      <c r="AH246" s="286">
        <f t="shared" si="522"/>
        <v>-8.3333333333333329E-2</v>
      </c>
      <c r="AJ246" s="11">
        <f t="shared" si="523"/>
        <v>0</v>
      </c>
      <c r="AL246" s="11">
        <f t="shared" si="524"/>
        <v>0</v>
      </c>
      <c r="AN246" s="11">
        <f t="shared" si="525"/>
        <v>0</v>
      </c>
      <c r="AP246" s="11">
        <f t="shared" si="526"/>
        <v>0</v>
      </c>
      <c r="AR246" s="11">
        <f t="shared" si="527"/>
        <v>0</v>
      </c>
    </row>
    <row r="247" spans="3:44">
      <c r="C247" s="282">
        <v>4</v>
      </c>
      <c r="D247" s="329" t="s">
        <v>185</v>
      </c>
      <c r="E247" s="282">
        <v>2003</v>
      </c>
      <c r="F247" s="284">
        <v>12</v>
      </c>
      <c r="G247" s="307">
        <v>0</v>
      </c>
      <c r="H247" s="286"/>
      <c r="I247" s="308" t="s">
        <v>86</v>
      </c>
      <c r="J247" s="284">
        <v>10</v>
      </c>
      <c r="K247" s="309">
        <f t="shared" si="509"/>
        <v>2013</v>
      </c>
      <c r="N247" s="285">
        <v>10000</v>
      </c>
      <c r="P247" s="286">
        <f t="shared" si="510"/>
        <v>10000</v>
      </c>
      <c r="Q247" s="286">
        <f t="shared" si="511"/>
        <v>83.333333333333329</v>
      </c>
      <c r="R247" s="286">
        <f t="shared" si="512"/>
        <v>0</v>
      </c>
      <c r="T247" s="286">
        <f t="shared" si="513"/>
        <v>0</v>
      </c>
      <c r="U247" s="286">
        <v>1</v>
      </c>
      <c r="V247" s="286">
        <f t="shared" si="514"/>
        <v>0</v>
      </c>
      <c r="W247" s="286"/>
      <c r="X247" s="286">
        <f t="shared" si="507"/>
        <v>10000</v>
      </c>
      <c r="Y247" s="286">
        <f t="shared" si="508"/>
        <v>10000</v>
      </c>
      <c r="Z247" s="286">
        <v>1</v>
      </c>
      <c r="AA247" s="286">
        <f t="shared" si="515"/>
        <v>10000</v>
      </c>
      <c r="AB247" s="286">
        <f t="shared" si="516"/>
        <v>10000</v>
      </c>
      <c r="AC247" s="286">
        <f t="shared" si="517"/>
        <v>0</v>
      </c>
      <c r="AD247" s="286">
        <f t="shared" si="518"/>
        <v>2003.9166666666667</v>
      </c>
      <c r="AE247" s="286">
        <f t="shared" si="519"/>
        <v>2018</v>
      </c>
      <c r="AF247" s="286">
        <f t="shared" si="520"/>
        <v>2013.9166666666667</v>
      </c>
      <c r="AG247" s="286">
        <f t="shared" si="521"/>
        <v>2017</v>
      </c>
      <c r="AH247" s="286">
        <f t="shared" si="522"/>
        <v>-8.3333333333333329E-2</v>
      </c>
      <c r="AJ247" s="11">
        <f t="shared" si="523"/>
        <v>0</v>
      </c>
      <c r="AL247" s="11">
        <f t="shared" si="524"/>
        <v>0</v>
      </c>
      <c r="AN247" s="11">
        <f t="shared" si="525"/>
        <v>0</v>
      </c>
      <c r="AP247" s="11">
        <f t="shared" si="526"/>
        <v>0</v>
      </c>
      <c r="AR247" s="11">
        <f t="shared" si="527"/>
        <v>0</v>
      </c>
    </row>
    <row r="248" spans="3:44">
      <c r="D248" s="329" t="s">
        <v>186</v>
      </c>
      <c r="E248" s="282">
        <v>2004</v>
      </c>
      <c r="F248" s="284">
        <v>3</v>
      </c>
      <c r="G248" s="307">
        <v>0</v>
      </c>
      <c r="H248" s="286"/>
      <c r="I248" s="308" t="s">
        <v>86</v>
      </c>
      <c r="J248" s="284">
        <v>10</v>
      </c>
      <c r="K248" s="309">
        <f t="shared" si="509"/>
        <v>2014</v>
      </c>
      <c r="N248" s="285">
        <v>16336</v>
      </c>
      <c r="P248" s="286">
        <f t="shared" si="510"/>
        <v>16336</v>
      </c>
      <c r="Q248" s="286">
        <f t="shared" si="511"/>
        <v>136.13333333333333</v>
      </c>
      <c r="R248" s="286">
        <f t="shared" si="512"/>
        <v>0</v>
      </c>
      <c r="T248" s="286">
        <f t="shared" si="513"/>
        <v>0</v>
      </c>
      <c r="U248" s="286">
        <v>1</v>
      </c>
      <c r="V248" s="286">
        <f t="shared" si="514"/>
        <v>0</v>
      </c>
      <c r="W248" s="286"/>
      <c r="X248" s="286">
        <f t="shared" si="507"/>
        <v>16336</v>
      </c>
      <c r="Y248" s="286">
        <f t="shared" si="508"/>
        <v>16336</v>
      </c>
      <c r="Z248" s="286">
        <v>1</v>
      </c>
      <c r="AA248" s="286">
        <f t="shared" si="515"/>
        <v>16336</v>
      </c>
      <c r="AB248" s="286">
        <f t="shared" si="516"/>
        <v>16336</v>
      </c>
      <c r="AC248" s="286">
        <f t="shared" si="517"/>
        <v>0</v>
      </c>
      <c r="AD248" s="286">
        <f t="shared" si="518"/>
        <v>2004.1666666666667</v>
      </c>
      <c r="AE248" s="286">
        <f t="shared" si="519"/>
        <v>2018</v>
      </c>
      <c r="AF248" s="286">
        <f t="shared" si="520"/>
        <v>2014.1666666666667</v>
      </c>
      <c r="AG248" s="286">
        <f t="shared" si="521"/>
        <v>2017</v>
      </c>
      <c r="AH248" s="286">
        <f t="shared" si="522"/>
        <v>-8.3333333333333329E-2</v>
      </c>
      <c r="AJ248" s="11">
        <f t="shared" si="523"/>
        <v>0</v>
      </c>
      <c r="AL248" s="11">
        <f t="shared" si="524"/>
        <v>0</v>
      </c>
      <c r="AN248" s="11">
        <f t="shared" si="525"/>
        <v>0</v>
      </c>
      <c r="AP248" s="11">
        <f t="shared" si="526"/>
        <v>0</v>
      </c>
      <c r="AR248" s="11">
        <f t="shared" si="527"/>
        <v>0</v>
      </c>
    </row>
    <row r="249" spans="3:44">
      <c r="C249" s="282">
        <v>1</v>
      </c>
      <c r="D249" s="329" t="s">
        <v>187</v>
      </c>
      <c r="E249" s="282">
        <v>2004</v>
      </c>
      <c r="F249" s="284">
        <v>10</v>
      </c>
      <c r="G249" s="307">
        <v>0</v>
      </c>
      <c r="H249" s="286"/>
      <c r="I249" s="308" t="s">
        <v>86</v>
      </c>
      <c r="J249" s="284">
        <v>10</v>
      </c>
      <c r="K249" s="309">
        <f t="shared" si="509"/>
        <v>2014</v>
      </c>
      <c r="N249" s="285">
        <v>3562</v>
      </c>
      <c r="P249" s="286">
        <f t="shared" si="510"/>
        <v>3562</v>
      </c>
      <c r="Q249" s="286">
        <f t="shared" si="511"/>
        <v>29.683333333333334</v>
      </c>
      <c r="R249" s="286">
        <f t="shared" si="512"/>
        <v>0</v>
      </c>
      <c r="T249" s="286">
        <f t="shared" si="513"/>
        <v>0</v>
      </c>
      <c r="U249" s="286">
        <v>1</v>
      </c>
      <c r="V249" s="286">
        <f t="shared" si="514"/>
        <v>0</v>
      </c>
      <c r="W249" s="286"/>
      <c r="X249" s="286">
        <f t="shared" si="507"/>
        <v>3562</v>
      </c>
      <c r="Y249" s="286">
        <f t="shared" si="508"/>
        <v>3562</v>
      </c>
      <c r="Z249" s="286">
        <v>1</v>
      </c>
      <c r="AA249" s="286">
        <f t="shared" si="515"/>
        <v>3562</v>
      </c>
      <c r="AB249" s="286">
        <f t="shared" si="516"/>
        <v>3562</v>
      </c>
      <c r="AC249" s="286">
        <f t="shared" si="517"/>
        <v>0</v>
      </c>
      <c r="AD249" s="286">
        <f t="shared" si="518"/>
        <v>2004.75</v>
      </c>
      <c r="AE249" s="286">
        <f t="shared" si="519"/>
        <v>2018</v>
      </c>
      <c r="AF249" s="286">
        <f t="shared" si="520"/>
        <v>2014.75</v>
      </c>
      <c r="AG249" s="286">
        <f t="shared" si="521"/>
        <v>2017</v>
      </c>
      <c r="AH249" s="286">
        <f t="shared" si="522"/>
        <v>-8.3333333333333329E-2</v>
      </c>
      <c r="AJ249" s="11">
        <f t="shared" si="523"/>
        <v>0</v>
      </c>
      <c r="AL249" s="11">
        <f t="shared" si="524"/>
        <v>0</v>
      </c>
      <c r="AN249" s="11">
        <f t="shared" si="525"/>
        <v>0</v>
      </c>
      <c r="AP249" s="11">
        <f t="shared" si="526"/>
        <v>0</v>
      </c>
      <c r="AR249" s="11">
        <f t="shared" si="527"/>
        <v>0</v>
      </c>
    </row>
    <row r="250" spans="3:44">
      <c r="C250" s="282">
        <v>4</v>
      </c>
      <c r="D250" s="329" t="s">
        <v>185</v>
      </c>
      <c r="E250" s="282">
        <v>2005</v>
      </c>
      <c r="F250" s="284">
        <v>6</v>
      </c>
      <c r="G250" s="307">
        <v>0</v>
      </c>
      <c r="H250" s="286"/>
      <c r="I250" s="308" t="s">
        <v>86</v>
      </c>
      <c r="J250" s="284">
        <v>10</v>
      </c>
      <c r="K250" s="309">
        <f t="shared" si="509"/>
        <v>2015</v>
      </c>
      <c r="N250" s="285">
        <v>14877</v>
      </c>
      <c r="P250" s="286">
        <f t="shared" si="510"/>
        <v>14877</v>
      </c>
      <c r="Q250" s="286">
        <f t="shared" si="511"/>
        <v>123.97500000000001</v>
      </c>
      <c r="R250" s="286">
        <f t="shared" si="512"/>
        <v>0</v>
      </c>
      <c r="T250" s="286">
        <f t="shared" si="513"/>
        <v>0</v>
      </c>
      <c r="U250" s="286">
        <v>1</v>
      </c>
      <c r="V250" s="286">
        <f t="shared" si="514"/>
        <v>0</v>
      </c>
      <c r="W250" s="286"/>
      <c r="X250" s="286">
        <f t="shared" si="507"/>
        <v>14877</v>
      </c>
      <c r="Y250" s="286">
        <f t="shared" si="508"/>
        <v>14877</v>
      </c>
      <c r="Z250" s="286">
        <v>1</v>
      </c>
      <c r="AA250" s="286">
        <f t="shared" si="515"/>
        <v>14877</v>
      </c>
      <c r="AB250" s="286">
        <f t="shared" si="516"/>
        <v>14877</v>
      </c>
      <c r="AC250" s="286">
        <f t="shared" si="517"/>
        <v>0</v>
      </c>
      <c r="AD250" s="286">
        <f t="shared" si="518"/>
        <v>2005.4166666666667</v>
      </c>
      <c r="AE250" s="286">
        <f t="shared" si="519"/>
        <v>2018</v>
      </c>
      <c r="AF250" s="286">
        <f t="shared" si="520"/>
        <v>2015.4166666666667</v>
      </c>
      <c r="AG250" s="286">
        <f t="shared" si="521"/>
        <v>2017</v>
      </c>
      <c r="AH250" s="286">
        <f t="shared" si="522"/>
        <v>-8.3333333333333329E-2</v>
      </c>
      <c r="AJ250" s="11">
        <f t="shared" si="523"/>
        <v>0</v>
      </c>
      <c r="AL250" s="11">
        <f t="shared" si="524"/>
        <v>0</v>
      </c>
      <c r="AN250" s="11">
        <f t="shared" si="525"/>
        <v>0</v>
      </c>
      <c r="AP250" s="11">
        <f t="shared" si="526"/>
        <v>0</v>
      </c>
      <c r="AR250" s="11">
        <f t="shared" si="527"/>
        <v>0</v>
      </c>
    </row>
    <row r="251" spans="3:44">
      <c r="C251" s="282">
        <v>8</v>
      </c>
      <c r="D251" s="329" t="s">
        <v>185</v>
      </c>
      <c r="E251" s="282">
        <v>2006</v>
      </c>
      <c r="F251" s="284">
        <v>4</v>
      </c>
      <c r="G251" s="307">
        <v>0</v>
      </c>
      <c r="H251" s="286"/>
      <c r="I251" s="308" t="s">
        <v>86</v>
      </c>
      <c r="J251" s="284">
        <v>10</v>
      </c>
      <c r="K251" s="309">
        <f t="shared" si="509"/>
        <v>2016</v>
      </c>
      <c r="N251" s="285">
        <v>28560</v>
      </c>
      <c r="P251" s="286">
        <f t="shared" si="510"/>
        <v>28560</v>
      </c>
      <c r="Q251" s="286">
        <f t="shared" si="511"/>
        <v>238</v>
      </c>
      <c r="R251" s="286">
        <f t="shared" si="512"/>
        <v>0</v>
      </c>
      <c r="T251" s="286">
        <f t="shared" si="513"/>
        <v>0</v>
      </c>
      <c r="U251" s="286">
        <v>1</v>
      </c>
      <c r="V251" s="286">
        <f t="shared" si="514"/>
        <v>0</v>
      </c>
      <c r="W251" s="286"/>
      <c r="X251" s="286">
        <f t="shared" si="507"/>
        <v>28560</v>
      </c>
      <c r="Y251" s="286">
        <f t="shared" si="508"/>
        <v>28560</v>
      </c>
      <c r="Z251" s="286">
        <v>1</v>
      </c>
      <c r="AA251" s="286">
        <f t="shared" si="515"/>
        <v>28560</v>
      </c>
      <c r="AB251" s="286">
        <f t="shared" si="516"/>
        <v>28560</v>
      </c>
      <c r="AC251" s="286">
        <f t="shared" si="517"/>
        <v>0</v>
      </c>
      <c r="AD251" s="286">
        <f t="shared" si="518"/>
        <v>2006.25</v>
      </c>
      <c r="AE251" s="286">
        <f t="shared" si="519"/>
        <v>2018</v>
      </c>
      <c r="AF251" s="286">
        <f t="shared" si="520"/>
        <v>2016.25</v>
      </c>
      <c r="AG251" s="286">
        <f t="shared" si="521"/>
        <v>2017</v>
      </c>
      <c r="AH251" s="286">
        <f t="shared" si="522"/>
        <v>-8.3333333333333329E-2</v>
      </c>
      <c r="AJ251" s="11">
        <f t="shared" si="523"/>
        <v>0</v>
      </c>
      <c r="AL251" s="11">
        <f t="shared" si="524"/>
        <v>0</v>
      </c>
      <c r="AN251" s="11">
        <f t="shared" si="525"/>
        <v>0</v>
      </c>
      <c r="AP251" s="11">
        <f t="shared" si="526"/>
        <v>0</v>
      </c>
      <c r="AR251" s="11">
        <f t="shared" si="527"/>
        <v>0</v>
      </c>
    </row>
    <row r="252" spans="3:44">
      <c r="C252" s="282">
        <v>2</v>
      </c>
      <c r="D252" s="329" t="s">
        <v>188</v>
      </c>
      <c r="E252" s="282">
        <v>2006</v>
      </c>
      <c r="F252" s="284">
        <v>4</v>
      </c>
      <c r="G252" s="307">
        <v>0</v>
      </c>
      <c r="H252" s="286"/>
      <c r="I252" s="308" t="s">
        <v>86</v>
      </c>
      <c r="J252" s="284">
        <v>10</v>
      </c>
      <c r="K252" s="309">
        <f t="shared" si="509"/>
        <v>2016</v>
      </c>
      <c r="N252" s="285">
        <f>4300+4300</f>
        <v>8600</v>
      </c>
      <c r="P252" s="286">
        <f t="shared" si="510"/>
        <v>8600</v>
      </c>
      <c r="Q252" s="286">
        <f t="shared" si="511"/>
        <v>71.666666666666671</v>
      </c>
      <c r="R252" s="286">
        <f t="shared" si="512"/>
        <v>0</v>
      </c>
      <c r="T252" s="286">
        <f t="shared" si="513"/>
        <v>0</v>
      </c>
      <c r="U252" s="286">
        <v>1</v>
      </c>
      <c r="V252" s="286">
        <f t="shared" si="514"/>
        <v>0</v>
      </c>
      <c r="W252" s="286"/>
      <c r="X252" s="286">
        <f t="shared" si="507"/>
        <v>8600</v>
      </c>
      <c r="Y252" s="286">
        <f t="shared" si="508"/>
        <v>8600</v>
      </c>
      <c r="Z252" s="286">
        <v>1</v>
      </c>
      <c r="AA252" s="286">
        <f t="shared" si="515"/>
        <v>8600</v>
      </c>
      <c r="AB252" s="286">
        <f t="shared" si="516"/>
        <v>8600</v>
      </c>
      <c r="AC252" s="286">
        <f t="shared" si="517"/>
        <v>0</v>
      </c>
      <c r="AD252" s="286">
        <f t="shared" si="518"/>
        <v>2006.25</v>
      </c>
      <c r="AE252" s="286">
        <f t="shared" si="519"/>
        <v>2018</v>
      </c>
      <c r="AF252" s="286">
        <f t="shared" si="520"/>
        <v>2016.25</v>
      </c>
      <c r="AG252" s="286">
        <f t="shared" si="521"/>
        <v>2017</v>
      </c>
      <c r="AH252" s="286">
        <f t="shared" si="522"/>
        <v>-8.3333333333333329E-2</v>
      </c>
      <c r="AJ252" s="11">
        <f t="shared" si="523"/>
        <v>0</v>
      </c>
      <c r="AL252" s="11">
        <f t="shared" si="524"/>
        <v>0</v>
      </c>
      <c r="AN252" s="11">
        <f t="shared" si="525"/>
        <v>0</v>
      </c>
      <c r="AP252" s="11">
        <f t="shared" si="526"/>
        <v>0</v>
      </c>
      <c r="AR252" s="11">
        <f t="shared" si="527"/>
        <v>0</v>
      </c>
    </row>
    <row r="253" spans="3:44">
      <c r="C253" s="282">
        <v>2</v>
      </c>
      <c r="D253" s="329" t="s">
        <v>189</v>
      </c>
      <c r="E253" s="282">
        <v>2006</v>
      </c>
      <c r="F253" s="284">
        <v>4</v>
      </c>
      <c r="G253" s="307">
        <v>0</v>
      </c>
      <c r="H253" s="286"/>
      <c r="I253" s="308" t="s">
        <v>86</v>
      </c>
      <c r="J253" s="284">
        <v>10</v>
      </c>
      <c r="K253" s="309">
        <f t="shared" si="509"/>
        <v>2016</v>
      </c>
      <c r="N253" s="285">
        <f>4350+4350</f>
        <v>8700</v>
      </c>
      <c r="P253" s="286">
        <f t="shared" si="510"/>
        <v>8700</v>
      </c>
      <c r="Q253" s="286">
        <f t="shared" si="511"/>
        <v>72.5</v>
      </c>
      <c r="R253" s="286">
        <f t="shared" si="512"/>
        <v>0</v>
      </c>
      <c r="T253" s="286">
        <f t="shared" si="513"/>
        <v>0</v>
      </c>
      <c r="U253" s="286">
        <v>1</v>
      </c>
      <c r="V253" s="286">
        <f t="shared" si="514"/>
        <v>0</v>
      </c>
      <c r="W253" s="286"/>
      <c r="X253" s="286">
        <f t="shared" si="507"/>
        <v>8700</v>
      </c>
      <c r="Y253" s="286">
        <f t="shared" si="508"/>
        <v>8700</v>
      </c>
      <c r="Z253" s="286">
        <v>1</v>
      </c>
      <c r="AA253" s="286">
        <f t="shared" si="515"/>
        <v>8700</v>
      </c>
      <c r="AB253" s="286">
        <f t="shared" si="516"/>
        <v>8700</v>
      </c>
      <c r="AC253" s="286">
        <f t="shared" si="517"/>
        <v>0</v>
      </c>
      <c r="AD253" s="286">
        <f t="shared" si="518"/>
        <v>2006.25</v>
      </c>
      <c r="AE253" s="286">
        <f t="shared" si="519"/>
        <v>2018</v>
      </c>
      <c r="AF253" s="286">
        <f t="shared" si="520"/>
        <v>2016.25</v>
      </c>
      <c r="AG253" s="286">
        <f t="shared" si="521"/>
        <v>2017</v>
      </c>
      <c r="AH253" s="286">
        <f t="shared" si="522"/>
        <v>-8.3333333333333329E-2</v>
      </c>
      <c r="AJ253" s="11">
        <f t="shared" si="523"/>
        <v>0</v>
      </c>
      <c r="AL253" s="11">
        <f t="shared" si="524"/>
        <v>0</v>
      </c>
      <c r="AN253" s="11">
        <f t="shared" si="525"/>
        <v>0</v>
      </c>
      <c r="AP253" s="11">
        <f t="shared" si="526"/>
        <v>0</v>
      </c>
      <c r="AR253" s="11">
        <f t="shared" si="527"/>
        <v>0</v>
      </c>
    </row>
    <row r="254" spans="3:44">
      <c r="C254" s="282">
        <v>1</v>
      </c>
      <c r="D254" s="329" t="s">
        <v>190</v>
      </c>
      <c r="E254" s="282">
        <v>2006</v>
      </c>
      <c r="F254" s="284">
        <v>6</v>
      </c>
      <c r="G254" s="307">
        <v>0</v>
      </c>
      <c r="H254" s="286"/>
      <c r="I254" s="308" t="s">
        <v>86</v>
      </c>
      <c r="J254" s="284">
        <v>10</v>
      </c>
      <c r="K254" s="309">
        <f t="shared" si="509"/>
        <v>2016</v>
      </c>
      <c r="N254" s="285">
        <v>2650</v>
      </c>
      <c r="P254" s="286">
        <f t="shared" si="510"/>
        <v>2650</v>
      </c>
      <c r="Q254" s="286">
        <f t="shared" si="511"/>
        <v>22.083333333333332</v>
      </c>
      <c r="R254" s="286">
        <f t="shared" si="512"/>
        <v>0</v>
      </c>
      <c r="T254" s="286">
        <f t="shared" si="513"/>
        <v>0</v>
      </c>
      <c r="U254" s="286">
        <v>1</v>
      </c>
      <c r="V254" s="286">
        <f t="shared" si="514"/>
        <v>0</v>
      </c>
      <c r="W254" s="286"/>
      <c r="X254" s="286">
        <f t="shared" si="507"/>
        <v>2650</v>
      </c>
      <c r="Y254" s="286">
        <f t="shared" si="508"/>
        <v>2650</v>
      </c>
      <c r="Z254" s="286">
        <v>1</v>
      </c>
      <c r="AA254" s="286">
        <f t="shared" si="515"/>
        <v>2650</v>
      </c>
      <c r="AB254" s="286">
        <f t="shared" si="516"/>
        <v>2650</v>
      </c>
      <c r="AC254" s="286">
        <f t="shared" si="517"/>
        <v>0</v>
      </c>
      <c r="AD254" s="286">
        <f t="shared" si="518"/>
        <v>2006.4166666666667</v>
      </c>
      <c r="AE254" s="286">
        <f t="shared" si="519"/>
        <v>2018</v>
      </c>
      <c r="AF254" s="286">
        <f t="shared" si="520"/>
        <v>2016.4166666666667</v>
      </c>
      <c r="AG254" s="286">
        <f t="shared" si="521"/>
        <v>2017</v>
      </c>
      <c r="AH254" s="286">
        <f t="shared" si="522"/>
        <v>-8.3333333333333329E-2</v>
      </c>
      <c r="AJ254" s="11">
        <f t="shared" si="523"/>
        <v>0</v>
      </c>
      <c r="AL254" s="11">
        <f t="shared" si="524"/>
        <v>0</v>
      </c>
      <c r="AN254" s="11">
        <f t="shared" si="525"/>
        <v>0</v>
      </c>
      <c r="AP254" s="11">
        <f t="shared" si="526"/>
        <v>0</v>
      </c>
      <c r="AR254" s="11">
        <f t="shared" si="527"/>
        <v>0</v>
      </c>
    </row>
    <row r="255" spans="3:44">
      <c r="C255" s="282">
        <v>4</v>
      </c>
      <c r="D255" s="329" t="s">
        <v>191</v>
      </c>
      <c r="E255" s="282">
        <v>2006</v>
      </c>
      <c r="F255" s="284">
        <v>6</v>
      </c>
      <c r="G255" s="307">
        <v>0</v>
      </c>
      <c r="H255" s="286"/>
      <c r="I255" s="308" t="s">
        <v>86</v>
      </c>
      <c r="J255" s="284">
        <v>10</v>
      </c>
      <c r="K255" s="309">
        <f t="shared" si="509"/>
        <v>2016</v>
      </c>
      <c r="N255" s="285">
        <v>21480</v>
      </c>
      <c r="P255" s="286">
        <f t="shared" si="510"/>
        <v>21480</v>
      </c>
      <c r="Q255" s="286">
        <f t="shared" si="511"/>
        <v>179</v>
      </c>
      <c r="R255" s="286">
        <f t="shared" si="512"/>
        <v>0</v>
      </c>
      <c r="T255" s="286">
        <f t="shared" si="513"/>
        <v>0</v>
      </c>
      <c r="U255" s="286">
        <v>1</v>
      </c>
      <c r="V255" s="286">
        <f t="shared" si="514"/>
        <v>0</v>
      </c>
      <c r="W255" s="286"/>
      <c r="X255" s="286">
        <f t="shared" si="507"/>
        <v>21480</v>
      </c>
      <c r="Y255" s="286">
        <f t="shared" si="508"/>
        <v>21480</v>
      </c>
      <c r="Z255" s="286">
        <v>1</v>
      </c>
      <c r="AA255" s="286">
        <f t="shared" si="515"/>
        <v>21480</v>
      </c>
      <c r="AB255" s="286">
        <f t="shared" si="516"/>
        <v>21480</v>
      </c>
      <c r="AC255" s="286">
        <f t="shared" si="517"/>
        <v>0</v>
      </c>
      <c r="AD255" s="286">
        <f t="shared" si="518"/>
        <v>2006.4166666666667</v>
      </c>
      <c r="AE255" s="286">
        <f t="shared" si="519"/>
        <v>2018</v>
      </c>
      <c r="AF255" s="286">
        <f t="shared" si="520"/>
        <v>2016.4166666666667</v>
      </c>
      <c r="AG255" s="286">
        <f t="shared" si="521"/>
        <v>2017</v>
      </c>
      <c r="AH255" s="286">
        <f t="shared" si="522"/>
        <v>-8.3333333333333329E-2</v>
      </c>
      <c r="AJ255" s="11">
        <f t="shared" si="523"/>
        <v>0</v>
      </c>
      <c r="AL255" s="11">
        <f t="shared" si="524"/>
        <v>0</v>
      </c>
      <c r="AN255" s="11">
        <f t="shared" si="525"/>
        <v>0</v>
      </c>
      <c r="AP255" s="11">
        <f t="shared" si="526"/>
        <v>0</v>
      </c>
      <c r="AR255" s="11">
        <f t="shared" si="527"/>
        <v>0</v>
      </c>
    </row>
    <row r="256" spans="3:44">
      <c r="C256" s="282">
        <v>1</v>
      </c>
      <c r="D256" s="329" t="s">
        <v>193</v>
      </c>
      <c r="E256" s="282">
        <v>2006</v>
      </c>
      <c r="F256" s="284">
        <v>6</v>
      </c>
      <c r="G256" s="307">
        <v>0</v>
      </c>
      <c r="H256" s="286"/>
      <c r="I256" s="308" t="s">
        <v>86</v>
      </c>
      <c r="J256" s="284">
        <v>10</v>
      </c>
      <c r="K256" s="309">
        <f t="shared" si="509"/>
        <v>2016</v>
      </c>
      <c r="N256" s="285">
        <v>4350</v>
      </c>
      <c r="P256" s="286">
        <f t="shared" si="510"/>
        <v>4350</v>
      </c>
      <c r="Q256" s="286">
        <f t="shared" si="511"/>
        <v>36.25</v>
      </c>
      <c r="R256" s="286">
        <f t="shared" si="512"/>
        <v>0</v>
      </c>
      <c r="T256" s="286">
        <f t="shared" si="513"/>
        <v>0</v>
      </c>
      <c r="U256" s="286">
        <v>1</v>
      </c>
      <c r="V256" s="286">
        <f t="shared" si="514"/>
        <v>0</v>
      </c>
      <c r="W256" s="286"/>
      <c r="X256" s="286">
        <f t="shared" si="507"/>
        <v>4350</v>
      </c>
      <c r="Y256" s="286">
        <f t="shared" si="508"/>
        <v>4350</v>
      </c>
      <c r="Z256" s="286">
        <v>1</v>
      </c>
      <c r="AA256" s="286">
        <f t="shared" si="515"/>
        <v>4350</v>
      </c>
      <c r="AB256" s="286">
        <f t="shared" si="516"/>
        <v>4350</v>
      </c>
      <c r="AC256" s="286">
        <f t="shared" si="517"/>
        <v>0</v>
      </c>
      <c r="AD256" s="286">
        <f t="shared" si="518"/>
        <v>2006.4166666666667</v>
      </c>
      <c r="AE256" s="286">
        <f t="shared" si="519"/>
        <v>2018</v>
      </c>
      <c r="AF256" s="286">
        <f t="shared" si="520"/>
        <v>2016.4166666666667</v>
      </c>
      <c r="AG256" s="286">
        <f t="shared" si="521"/>
        <v>2017</v>
      </c>
      <c r="AH256" s="286">
        <f t="shared" si="522"/>
        <v>-8.3333333333333329E-2</v>
      </c>
      <c r="AJ256" s="11">
        <f t="shared" si="523"/>
        <v>0</v>
      </c>
      <c r="AL256" s="11">
        <f t="shared" si="524"/>
        <v>0</v>
      </c>
      <c r="AN256" s="11">
        <f t="shared" si="525"/>
        <v>0</v>
      </c>
      <c r="AP256" s="11">
        <f t="shared" si="526"/>
        <v>0</v>
      </c>
      <c r="AR256" s="11">
        <f t="shared" si="527"/>
        <v>0</v>
      </c>
    </row>
    <row r="257" spans="1:44">
      <c r="C257" s="282">
        <v>1</v>
      </c>
      <c r="D257" s="329" t="s">
        <v>194</v>
      </c>
      <c r="E257" s="282">
        <v>2006</v>
      </c>
      <c r="F257" s="284">
        <v>6</v>
      </c>
      <c r="G257" s="307">
        <v>0</v>
      </c>
      <c r="H257" s="286"/>
      <c r="I257" s="308" t="s">
        <v>86</v>
      </c>
      <c r="J257" s="284">
        <v>10</v>
      </c>
      <c r="K257" s="309">
        <f t="shared" si="509"/>
        <v>2016</v>
      </c>
      <c r="N257" s="285">
        <v>4300</v>
      </c>
      <c r="P257" s="286">
        <f t="shared" si="510"/>
        <v>4300</v>
      </c>
      <c r="Q257" s="286">
        <f t="shared" si="511"/>
        <v>35.833333333333336</v>
      </c>
      <c r="R257" s="286">
        <f t="shared" si="512"/>
        <v>0</v>
      </c>
      <c r="T257" s="286">
        <f t="shared" si="513"/>
        <v>0</v>
      </c>
      <c r="U257" s="286">
        <v>1</v>
      </c>
      <c r="V257" s="286">
        <f t="shared" si="514"/>
        <v>0</v>
      </c>
      <c r="W257" s="286"/>
      <c r="X257" s="286">
        <f t="shared" si="507"/>
        <v>4300</v>
      </c>
      <c r="Y257" s="286">
        <f t="shared" si="508"/>
        <v>4300</v>
      </c>
      <c r="Z257" s="286">
        <v>1</v>
      </c>
      <c r="AA257" s="286">
        <f t="shared" si="515"/>
        <v>4300</v>
      </c>
      <c r="AB257" s="286">
        <f t="shared" si="516"/>
        <v>4300</v>
      </c>
      <c r="AC257" s="286">
        <f t="shared" si="517"/>
        <v>0</v>
      </c>
      <c r="AD257" s="286">
        <f t="shared" si="518"/>
        <v>2006.4166666666667</v>
      </c>
      <c r="AE257" s="286">
        <f t="shared" si="519"/>
        <v>2018</v>
      </c>
      <c r="AF257" s="286">
        <f t="shared" si="520"/>
        <v>2016.4166666666667</v>
      </c>
      <c r="AG257" s="286">
        <f t="shared" si="521"/>
        <v>2017</v>
      </c>
      <c r="AH257" s="286">
        <f t="shared" si="522"/>
        <v>-8.3333333333333329E-2</v>
      </c>
      <c r="AJ257" s="11">
        <f t="shared" si="523"/>
        <v>0</v>
      </c>
      <c r="AL257" s="11">
        <f t="shared" si="524"/>
        <v>0</v>
      </c>
      <c r="AN257" s="11">
        <f t="shared" si="525"/>
        <v>0</v>
      </c>
      <c r="AP257" s="11">
        <f t="shared" si="526"/>
        <v>0</v>
      </c>
      <c r="AR257" s="11">
        <f t="shared" si="527"/>
        <v>0</v>
      </c>
    </row>
    <row r="258" spans="1:44">
      <c r="C258" s="282">
        <v>1</v>
      </c>
      <c r="D258" s="329" t="s">
        <v>195</v>
      </c>
      <c r="E258" s="282">
        <v>2006</v>
      </c>
      <c r="F258" s="284">
        <v>6</v>
      </c>
      <c r="G258" s="307">
        <v>0</v>
      </c>
      <c r="H258" s="286"/>
      <c r="I258" s="308" t="s">
        <v>86</v>
      </c>
      <c r="J258" s="284">
        <v>10</v>
      </c>
      <c r="K258" s="309">
        <f t="shared" si="509"/>
        <v>2016</v>
      </c>
      <c r="N258" s="285">
        <v>3570</v>
      </c>
      <c r="P258" s="286">
        <f t="shared" si="510"/>
        <v>3570</v>
      </c>
      <c r="Q258" s="286">
        <f t="shared" si="511"/>
        <v>29.75</v>
      </c>
      <c r="R258" s="286">
        <f t="shared" si="512"/>
        <v>0</v>
      </c>
      <c r="T258" s="286">
        <f t="shared" si="513"/>
        <v>0</v>
      </c>
      <c r="U258" s="286">
        <v>1</v>
      </c>
      <c r="V258" s="286">
        <f t="shared" si="514"/>
        <v>0</v>
      </c>
      <c r="W258" s="286"/>
      <c r="X258" s="286">
        <f t="shared" si="507"/>
        <v>3570</v>
      </c>
      <c r="Y258" s="286">
        <f t="shared" si="508"/>
        <v>3570</v>
      </c>
      <c r="Z258" s="286">
        <v>1</v>
      </c>
      <c r="AA258" s="286">
        <f t="shared" si="515"/>
        <v>3570</v>
      </c>
      <c r="AB258" s="286">
        <f t="shared" si="516"/>
        <v>3570</v>
      </c>
      <c r="AC258" s="286">
        <f t="shared" si="517"/>
        <v>0</v>
      </c>
      <c r="AD258" s="286">
        <f t="shared" si="518"/>
        <v>2006.4166666666667</v>
      </c>
      <c r="AE258" s="286">
        <f t="shared" si="519"/>
        <v>2018</v>
      </c>
      <c r="AF258" s="286">
        <f t="shared" si="520"/>
        <v>2016.4166666666667</v>
      </c>
      <c r="AG258" s="286">
        <f t="shared" si="521"/>
        <v>2017</v>
      </c>
      <c r="AH258" s="286">
        <f t="shared" si="522"/>
        <v>-8.3333333333333329E-2</v>
      </c>
      <c r="AJ258" s="11">
        <f t="shared" si="523"/>
        <v>0</v>
      </c>
      <c r="AL258" s="11">
        <f t="shared" si="524"/>
        <v>0</v>
      </c>
      <c r="AN258" s="11">
        <f t="shared" si="525"/>
        <v>0</v>
      </c>
      <c r="AP258" s="11">
        <f t="shared" si="526"/>
        <v>0</v>
      </c>
      <c r="AR258" s="11">
        <f t="shared" si="527"/>
        <v>0</v>
      </c>
    </row>
    <row r="259" spans="1:44">
      <c r="C259" s="282">
        <v>4</v>
      </c>
      <c r="D259" s="329" t="s">
        <v>195</v>
      </c>
      <c r="E259" s="282">
        <v>2006</v>
      </c>
      <c r="F259" s="284">
        <v>8</v>
      </c>
      <c r="G259" s="307">
        <v>0</v>
      </c>
      <c r="H259" s="286"/>
      <c r="I259" s="308" t="s">
        <v>86</v>
      </c>
      <c r="J259" s="284">
        <v>10</v>
      </c>
      <c r="K259" s="309">
        <f t="shared" si="509"/>
        <v>2016</v>
      </c>
      <c r="N259" s="285">
        <v>14280</v>
      </c>
      <c r="P259" s="286">
        <f t="shared" si="510"/>
        <v>14280</v>
      </c>
      <c r="Q259" s="286">
        <f t="shared" si="511"/>
        <v>119</v>
      </c>
      <c r="R259" s="286">
        <f t="shared" si="512"/>
        <v>0</v>
      </c>
      <c r="T259" s="286">
        <f t="shared" si="513"/>
        <v>0</v>
      </c>
      <c r="U259" s="286">
        <v>1</v>
      </c>
      <c r="V259" s="286">
        <f t="shared" si="514"/>
        <v>0</v>
      </c>
      <c r="W259" s="286"/>
      <c r="X259" s="286">
        <f t="shared" si="507"/>
        <v>14280</v>
      </c>
      <c r="Y259" s="286">
        <f t="shared" si="508"/>
        <v>14280</v>
      </c>
      <c r="Z259" s="286">
        <v>1</v>
      </c>
      <c r="AA259" s="286">
        <f t="shared" si="515"/>
        <v>14280</v>
      </c>
      <c r="AB259" s="286">
        <f t="shared" si="516"/>
        <v>14280</v>
      </c>
      <c r="AC259" s="286">
        <f t="shared" si="517"/>
        <v>0</v>
      </c>
      <c r="AD259" s="286">
        <f t="shared" si="518"/>
        <v>2006.5833333333333</v>
      </c>
      <c r="AE259" s="286">
        <f t="shared" si="519"/>
        <v>2018</v>
      </c>
      <c r="AF259" s="286">
        <f t="shared" si="520"/>
        <v>2016.5833333333333</v>
      </c>
      <c r="AG259" s="286">
        <f t="shared" si="521"/>
        <v>2017</v>
      </c>
      <c r="AH259" s="286">
        <f t="shared" si="522"/>
        <v>-8.3333333333333329E-2</v>
      </c>
      <c r="AJ259" s="11">
        <f t="shared" si="523"/>
        <v>0</v>
      </c>
      <c r="AL259" s="11">
        <f t="shared" si="524"/>
        <v>0</v>
      </c>
      <c r="AN259" s="11">
        <f t="shared" si="525"/>
        <v>0</v>
      </c>
      <c r="AP259" s="11">
        <f t="shared" si="526"/>
        <v>0</v>
      </c>
      <c r="AR259" s="11">
        <f t="shared" si="527"/>
        <v>0</v>
      </c>
    </row>
    <row r="260" spans="1:44">
      <c r="C260" s="282">
        <v>6</v>
      </c>
      <c r="D260" s="329" t="s">
        <v>195</v>
      </c>
      <c r="E260" s="282">
        <v>2006</v>
      </c>
      <c r="F260" s="284">
        <v>11</v>
      </c>
      <c r="G260" s="307">
        <v>0</v>
      </c>
      <c r="H260" s="286"/>
      <c r="I260" s="308" t="s">
        <v>86</v>
      </c>
      <c r="J260" s="284">
        <v>10</v>
      </c>
      <c r="K260" s="309">
        <f t="shared" si="509"/>
        <v>2016</v>
      </c>
      <c r="N260" s="285">
        <v>21594</v>
      </c>
      <c r="P260" s="286">
        <f t="shared" si="510"/>
        <v>21594</v>
      </c>
      <c r="Q260" s="286">
        <f t="shared" si="511"/>
        <v>179.95000000000002</v>
      </c>
      <c r="R260" s="286">
        <f t="shared" si="512"/>
        <v>0</v>
      </c>
      <c r="T260" s="286">
        <f t="shared" si="513"/>
        <v>0</v>
      </c>
      <c r="U260" s="286">
        <v>1</v>
      </c>
      <c r="V260" s="286">
        <f t="shared" si="514"/>
        <v>0</v>
      </c>
      <c r="W260" s="286"/>
      <c r="X260" s="286">
        <f t="shared" si="507"/>
        <v>21594</v>
      </c>
      <c r="Y260" s="286">
        <f t="shared" si="508"/>
        <v>21594</v>
      </c>
      <c r="Z260" s="286">
        <v>1</v>
      </c>
      <c r="AA260" s="286">
        <f t="shared" si="515"/>
        <v>21594</v>
      </c>
      <c r="AB260" s="286">
        <f t="shared" si="516"/>
        <v>21594</v>
      </c>
      <c r="AC260" s="286">
        <f t="shared" si="517"/>
        <v>0</v>
      </c>
      <c r="AD260" s="286">
        <f t="shared" si="518"/>
        <v>2006.8333333333333</v>
      </c>
      <c r="AE260" s="286">
        <f t="shared" si="519"/>
        <v>2018</v>
      </c>
      <c r="AF260" s="286">
        <f t="shared" si="520"/>
        <v>2016.8333333333333</v>
      </c>
      <c r="AG260" s="286">
        <f t="shared" si="521"/>
        <v>2017</v>
      </c>
      <c r="AH260" s="286">
        <f t="shared" si="522"/>
        <v>-8.3333333333333329E-2</v>
      </c>
      <c r="AJ260" s="11">
        <f t="shared" si="523"/>
        <v>0</v>
      </c>
      <c r="AL260" s="11">
        <f t="shared" si="524"/>
        <v>0</v>
      </c>
      <c r="AN260" s="11">
        <f t="shared" si="525"/>
        <v>0</v>
      </c>
      <c r="AP260" s="11">
        <f t="shared" si="526"/>
        <v>0</v>
      </c>
      <c r="AR260" s="11">
        <f t="shared" si="527"/>
        <v>0</v>
      </c>
    </row>
    <row r="261" spans="1:44">
      <c r="C261" s="282">
        <v>4</v>
      </c>
      <c r="D261" s="329" t="s">
        <v>196</v>
      </c>
      <c r="E261" s="282">
        <v>2007</v>
      </c>
      <c r="F261" s="284">
        <v>4</v>
      </c>
      <c r="G261" s="307">
        <v>0</v>
      </c>
      <c r="H261" s="286"/>
      <c r="I261" s="308" t="s">
        <v>86</v>
      </c>
      <c r="J261" s="284">
        <v>10</v>
      </c>
      <c r="K261" s="309">
        <f t="shared" si="509"/>
        <v>2017</v>
      </c>
      <c r="N261" s="285">
        <f>5270*4</f>
        <v>21080</v>
      </c>
      <c r="P261" s="286">
        <f t="shared" si="510"/>
        <v>21080</v>
      </c>
      <c r="Q261" s="286">
        <f t="shared" si="511"/>
        <v>175.66666666666666</v>
      </c>
      <c r="R261" s="286">
        <f t="shared" si="512"/>
        <v>527</v>
      </c>
      <c r="T261" s="286">
        <f t="shared" si="513"/>
        <v>527</v>
      </c>
      <c r="U261" s="286">
        <v>1</v>
      </c>
      <c r="V261" s="286">
        <f t="shared" si="514"/>
        <v>527</v>
      </c>
      <c r="W261" s="286"/>
      <c r="X261" s="286">
        <f t="shared" si="507"/>
        <v>20553</v>
      </c>
      <c r="Y261" s="286">
        <f t="shared" si="508"/>
        <v>20553</v>
      </c>
      <c r="Z261" s="286">
        <v>1</v>
      </c>
      <c r="AA261" s="286">
        <f t="shared" si="515"/>
        <v>20553</v>
      </c>
      <c r="AB261" s="286">
        <f t="shared" si="516"/>
        <v>21080</v>
      </c>
      <c r="AC261" s="286">
        <f t="shared" si="517"/>
        <v>263.5</v>
      </c>
      <c r="AD261" s="286">
        <f t="shared" si="518"/>
        <v>2007.25</v>
      </c>
      <c r="AE261" s="286">
        <f t="shared" si="519"/>
        <v>2018</v>
      </c>
      <c r="AF261" s="286">
        <f t="shared" si="520"/>
        <v>2017.25</v>
      </c>
      <c r="AG261" s="286">
        <f t="shared" si="521"/>
        <v>2017</v>
      </c>
      <c r="AH261" s="286">
        <f t="shared" si="522"/>
        <v>-8.3333333333333329E-2</v>
      </c>
      <c r="AJ261" s="11">
        <f t="shared" si="523"/>
        <v>0</v>
      </c>
      <c r="AL261" s="11">
        <f t="shared" si="524"/>
        <v>527</v>
      </c>
      <c r="AN261" s="11">
        <f t="shared" si="525"/>
        <v>0</v>
      </c>
      <c r="AP261" s="11">
        <f t="shared" si="526"/>
        <v>0</v>
      </c>
      <c r="AR261" s="11">
        <f t="shared" si="527"/>
        <v>263.5</v>
      </c>
    </row>
    <row r="262" spans="1:44">
      <c r="C262" s="282">
        <v>4</v>
      </c>
      <c r="D262" s="329" t="s">
        <v>197</v>
      </c>
      <c r="E262" s="282">
        <v>2007</v>
      </c>
      <c r="F262" s="284">
        <v>5</v>
      </c>
      <c r="G262" s="307">
        <v>0</v>
      </c>
      <c r="H262" s="286"/>
      <c r="I262" s="308" t="s">
        <v>86</v>
      </c>
      <c r="J262" s="284">
        <v>10</v>
      </c>
      <c r="K262" s="309">
        <f t="shared" si="509"/>
        <v>2017</v>
      </c>
      <c r="N262" s="285">
        <v>17400</v>
      </c>
      <c r="P262" s="286">
        <f t="shared" si="510"/>
        <v>17400</v>
      </c>
      <c r="Q262" s="286">
        <f t="shared" si="511"/>
        <v>145</v>
      </c>
      <c r="R262" s="286">
        <f t="shared" si="512"/>
        <v>579.99999999986812</v>
      </c>
      <c r="T262" s="286">
        <f t="shared" si="513"/>
        <v>579.99999999986812</v>
      </c>
      <c r="U262" s="286">
        <v>1</v>
      </c>
      <c r="V262" s="286">
        <f t="shared" si="514"/>
        <v>579.99999999986812</v>
      </c>
      <c r="W262" s="286"/>
      <c r="X262" s="286">
        <f t="shared" si="507"/>
        <v>16820.000000000131</v>
      </c>
      <c r="Y262" s="286">
        <f t="shared" si="508"/>
        <v>16820.000000000131</v>
      </c>
      <c r="Z262" s="286">
        <v>1</v>
      </c>
      <c r="AA262" s="286">
        <f t="shared" si="515"/>
        <v>16820.000000000131</v>
      </c>
      <c r="AB262" s="286">
        <f t="shared" si="516"/>
        <v>17400</v>
      </c>
      <c r="AC262" s="286">
        <f t="shared" si="517"/>
        <v>289.99999999993452</v>
      </c>
      <c r="AD262" s="286">
        <f t="shared" si="518"/>
        <v>2007.3333333333333</v>
      </c>
      <c r="AE262" s="286">
        <f t="shared" si="519"/>
        <v>2018</v>
      </c>
      <c r="AF262" s="286">
        <f t="shared" si="520"/>
        <v>2017.3333333333333</v>
      </c>
      <c r="AG262" s="286">
        <f t="shared" si="521"/>
        <v>2017</v>
      </c>
      <c r="AH262" s="286">
        <f t="shared" si="522"/>
        <v>-8.3333333333333329E-2</v>
      </c>
      <c r="AJ262" s="11">
        <f t="shared" si="523"/>
        <v>0</v>
      </c>
      <c r="AL262" s="11">
        <f t="shared" si="524"/>
        <v>579.99999999986812</v>
      </c>
      <c r="AN262" s="11">
        <f t="shared" si="525"/>
        <v>0</v>
      </c>
      <c r="AP262" s="11">
        <f t="shared" si="526"/>
        <v>0</v>
      </c>
      <c r="AR262" s="11">
        <f t="shared" si="527"/>
        <v>289.99999999993452</v>
      </c>
    </row>
    <row r="263" spans="1:44">
      <c r="C263" s="282">
        <v>6</v>
      </c>
      <c r="D263" s="329" t="s">
        <v>198</v>
      </c>
      <c r="E263" s="282">
        <v>2007</v>
      </c>
      <c r="F263" s="284">
        <v>5</v>
      </c>
      <c r="G263" s="307">
        <v>0</v>
      </c>
      <c r="H263" s="286"/>
      <c r="I263" s="308" t="s">
        <v>86</v>
      </c>
      <c r="J263" s="284">
        <v>10</v>
      </c>
      <c r="K263" s="309">
        <f t="shared" si="509"/>
        <v>2017</v>
      </c>
      <c r="N263" s="285">
        <v>20940</v>
      </c>
      <c r="P263" s="286">
        <f t="shared" si="510"/>
        <v>20940</v>
      </c>
      <c r="Q263" s="286">
        <f t="shared" si="511"/>
        <v>174.5</v>
      </c>
      <c r="R263" s="286">
        <f t="shared" si="512"/>
        <v>697.99999999984129</v>
      </c>
      <c r="T263" s="286">
        <f t="shared" si="513"/>
        <v>697.99999999984129</v>
      </c>
      <c r="U263" s="286">
        <v>1</v>
      </c>
      <c r="V263" s="286">
        <f t="shared" si="514"/>
        <v>697.99999999984129</v>
      </c>
      <c r="W263" s="286"/>
      <c r="X263" s="286">
        <f t="shared" si="507"/>
        <v>20242.00000000016</v>
      </c>
      <c r="Y263" s="286">
        <f t="shared" si="508"/>
        <v>20242.00000000016</v>
      </c>
      <c r="Z263" s="286">
        <v>1</v>
      </c>
      <c r="AA263" s="286">
        <f t="shared" si="515"/>
        <v>20242.00000000016</v>
      </c>
      <c r="AB263" s="286">
        <f t="shared" si="516"/>
        <v>20940</v>
      </c>
      <c r="AC263" s="286">
        <f t="shared" si="517"/>
        <v>348.99999999991996</v>
      </c>
      <c r="AD263" s="286">
        <f t="shared" si="518"/>
        <v>2007.3333333333333</v>
      </c>
      <c r="AE263" s="286">
        <f t="shared" si="519"/>
        <v>2018</v>
      </c>
      <c r="AF263" s="286">
        <f t="shared" si="520"/>
        <v>2017.3333333333333</v>
      </c>
      <c r="AG263" s="286">
        <f t="shared" si="521"/>
        <v>2017</v>
      </c>
      <c r="AH263" s="286">
        <f t="shared" si="522"/>
        <v>-8.3333333333333329E-2</v>
      </c>
      <c r="AJ263" s="11">
        <f t="shared" si="523"/>
        <v>0</v>
      </c>
      <c r="AL263" s="11">
        <f t="shared" si="524"/>
        <v>697.99999999984129</v>
      </c>
      <c r="AN263" s="11">
        <f t="shared" si="525"/>
        <v>0</v>
      </c>
      <c r="AP263" s="11">
        <f t="shared" si="526"/>
        <v>0</v>
      </c>
      <c r="AR263" s="11">
        <f t="shared" si="527"/>
        <v>348.99999999991996</v>
      </c>
    </row>
    <row r="264" spans="1:44">
      <c r="C264" s="282">
        <v>3</v>
      </c>
      <c r="D264" s="329" t="s">
        <v>199</v>
      </c>
      <c r="E264" s="282">
        <v>2008</v>
      </c>
      <c r="F264" s="284">
        <v>3</v>
      </c>
      <c r="G264" s="307">
        <v>0</v>
      </c>
      <c r="H264" s="286"/>
      <c r="I264" s="308" t="s">
        <v>86</v>
      </c>
      <c r="J264" s="284">
        <v>10</v>
      </c>
      <c r="K264" s="309">
        <f t="shared" si="509"/>
        <v>2018</v>
      </c>
      <c r="N264" s="285">
        <v>13735</v>
      </c>
      <c r="P264" s="286">
        <f t="shared" si="510"/>
        <v>13735</v>
      </c>
      <c r="Q264" s="286">
        <f t="shared" si="511"/>
        <v>114.45833333333333</v>
      </c>
      <c r="R264" s="286">
        <f t="shared" si="512"/>
        <v>1373.5</v>
      </c>
      <c r="T264" s="286">
        <f t="shared" si="513"/>
        <v>1373.5</v>
      </c>
      <c r="U264" s="286">
        <v>1</v>
      </c>
      <c r="V264" s="286">
        <f t="shared" si="514"/>
        <v>1373.5</v>
      </c>
      <c r="W264" s="286"/>
      <c r="X264" s="286">
        <f t="shared" si="507"/>
        <v>12132.583333333228</v>
      </c>
      <c r="Y264" s="286">
        <f t="shared" si="508"/>
        <v>12132.583333333228</v>
      </c>
      <c r="Z264" s="286">
        <v>1</v>
      </c>
      <c r="AA264" s="286">
        <f t="shared" si="515"/>
        <v>12132.583333333228</v>
      </c>
      <c r="AB264" s="286">
        <f t="shared" si="516"/>
        <v>13506.083333333228</v>
      </c>
      <c r="AC264" s="286">
        <f t="shared" si="517"/>
        <v>915.66666666677156</v>
      </c>
      <c r="AD264" s="286">
        <f t="shared" si="518"/>
        <v>2008.1666666666667</v>
      </c>
      <c r="AE264" s="286">
        <f t="shared" si="519"/>
        <v>2018</v>
      </c>
      <c r="AF264" s="286">
        <f t="shared" si="520"/>
        <v>2018.1666666666667</v>
      </c>
      <c r="AG264" s="286">
        <f t="shared" si="521"/>
        <v>2017</v>
      </c>
      <c r="AH264" s="286">
        <f t="shared" si="522"/>
        <v>-8.3333333333333329E-2</v>
      </c>
      <c r="AJ264" s="11">
        <f t="shared" si="523"/>
        <v>0</v>
      </c>
      <c r="AL264" s="11">
        <f t="shared" si="524"/>
        <v>1373.5</v>
      </c>
      <c r="AN264" s="11">
        <f t="shared" si="525"/>
        <v>0</v>
      </c>
      <c r="AP264" s="11">
        <f t="shared" si="526"/>
        <v>0</v>
      </c>
      <c r="AR264" s="11">
        <f t="shared" si="527"/>
        <v>915.66666666677156</v>
      </c>
    </row>
    <row r="265" spans="1:44">
      <c r="C265" s="282">
        <v>1</v>
      </c>
      <c r="D265" s="329" t="s">
        <v>199</v>
      </c>
      <c r="E265" s="282">
        <v>2009</v>
      </c>
      <c r="F265" s="284">
        <v>12</v>
      </c>
      <c r="G265" s="307">
        <v>0</v>
      </c>
      <c r="H265" s="286"/>
      <c r="I265" s="308" t="s">
        <v>86</v>
      </c>
      <c r="J265" s="284">
        <v>10</v>
      </c>
      <c r="K265" s="309">
        <f t="shared" si="509"/>
        <v>2019</v>
      </c>
      <c r="N265" s="285">
        <v>5181</v>
      </c>
      <c r="P265" s="286">
        <f t="shared" si="510"/>
        <v>5181</v>
      </c>
      <c r="Q265" s="286">
        <f t="shared" si="511"/>
        <v>43.175000000000004</v>
      </c>
      <c r="R265" s="286">
        <f t="shared" si="512"/>
        <v>518.1</v>
      </c>
      <c r="T265" s="286">
        <f t="shared" si="513"/>
        <v>518.1</v>
      </c>
      <c r="U265" s="286">
        <v>1</v>
      </c>
      <c r="V265" s="286">
        <f t="shared" si="514"/>
        <v>518.1</v>
      </c>
      <c r="W265" s="286"/>
      <c r="X265" s="286">
        <f t="shared" si="507"/>
        <v>3669.8749999999609</v>
      </c>
      <c r="Y265" s="286">
        <f t="shared" si="508"/>
        <v>3669.8749999999609</v>
      </c>
      <c r="Z265" s="286">
        <v>1</v>
      </c>
      <c r="AA265" s="286">
        <f t="shared" si="515"/>
        <v>3669.8749999999609</v>
      </c>
      <c r="AB265" s="286">
        <f t="shared" si="516"/>
        <v>4187.9749999999613</v>
      </c>
      <c r="AC265" s="286">
        <f t="shared" si="517"/>
        <v>1252.0750000000389</v>
      </c>
      <c r="AD265" s="286">
        <f t="shared" si="518"/>
        <v>2009.9166666666667</v>
      </c>
      <c r="AE265" s="286">
        <f t="shared" si="519"/>
        <v>2018</v>
      </c>
      <c r="AF265" s="286">
        <f t="shared" si="520"/>
        <v>2019.9166666666667</v>
      </c>
      <c r="AG265" s="286">
        <f t="shared" si="521"/>
        <v>2017</v>
      </c>
      <c r="AH265" s="286">
        <f t="shared" si="522"/>
        <v>-8.3333333333333329E-2</v>
      </c>
      <c r="AJ265" s="11">
        <f t="shared" si="523"/>
        <v>0</v>
      </c>
      <c r="AL265" s="11">
        <f t="shared" si="524"/>
        <v>518.1</v>
      </c>
      <c r="AN265" s="11">
        <f t="shared" si="525"/>
        <v>0</v>
      </c>
      <c r="AP265" s="11">
        <f t="shared" si="526"/>
        <v>0</v>
      </c>
      <c r="AR265" s="11">
        <f t="shared" si="527"/>
        <v>1252.0750000000389</v>
      </c>
    </row>
    <row r="266" spans="1:44">
      <c r="C266" s="282">
        <v>2</v>
      </c>
      <c r="D266" s="329" t="s">
        <v>200</v>
      </c>
      <c r="E266" s="282">
        <v>2010</v>
      </c>
      <c r="F266" s="284">
        <v>10</v>
      </c>
      <c r="G266" s="307">
        <v>0</v>
      </c>
      <c r="H266" s="286"/>
      <c r="I266" s="308" t="s">
        <v>86</v>
      </c>
      <c r="J266" s="284">
        <v>10</v>
      </c>
      <c r="K266" s="309">
        <f t="shared" si="509"/>
        <v>2020</v>
      </c>
      <c r="N266" s="285">
        <v>7321.45</v>
      </c>
      <c r="P266" s="286">
        <f t="shared" si="510"/>
        <v>7321.45</v>
      </c>
      <c r="Q266" s="286">
        <f t="shared" si="511"/>
        <v>61.012083333333329</v>
      </c>
      <c r="R266" s="286">
        <f t="shared" si="512"/>
        <v>732.14499999999998</v>
      </c>
      <c r="T266" s="286">
        <f t="shared" si="513"/>
        <v>732.14499999999998</v>
      </c>
      <c r="U266" s="286">
        <v>1</v>
      </c>
      <c r="V266" s="286">
        <f t="shared" si="514"/>
        <v>732.14499999999998</v>
      </c>
      <c r="W266" s="286"/>
      <c r="X266" s="286">
        <f t="shared" si="507"/>
        <v>4575.90625</v>
      </c>
      <c r="Y266" s="286">
        <f t="shared" si="508"/>
        <v>4575.90625</v>
      </c>
      <c r="Z266" s="286">
        <v>1</v>
      </c>
      <c r="AA266" s="286">
        <f t="shared" si="515"/>
        <v>4575.90625</v>
      </c>
      <c r="AB266" s="286">
        <f t="shared" si="516"/>
        <v>5308.0512500000004</v>
      </c>
      <c r="AC266" s="286">
        <f t="shared" si="517"/>
        <v>2379.4712499999996</v>
      </c>
      <c r="AD266" s="286">
        <f t="shared" si="518"/>
        <v>2010.75</v>
      </c>
      <c r="AE266" s="286">
        <f t="shared" si="519"/>
        <v>2018</v>
      </c>
      <c r="AF266" s="286">
        <f t="shared" si="520"/>
        <v>2020.75</v>
      </c>
      <c r="AG266" s="286">
        <f t="shared" si="521"/>
        <v>2017</v>
      </c>
      <c r="AH266" s="286">
        <f t="shared" si="522"/>
        <v>-8.3333333333333329E-2</v>
      </c>
      <c r="AJ266" s="11">
        <f t="shared" si="523"/>
        <v>0</v>
      </c>
      <c r="AL266" s="11">
        <f t="shared" si="524"/>
        <v>732.14499999999998</v>
      </c>
      <c r="AN266" s="11">
        <f t="shared" si="525"/>
        <v>0</v>
      </c>
      <c r="AP266" s="11">
        <f t="shared" si="526"/>
        <v>0</v>
      </c>
      <c r="AR266" s="11">
        <f t="shared" si="527"/>
        <v>2379.4712499999996</v>
      </c>
    </row>
    <row r="267" spans="1:44">
      <c r="C267" s="282">
        <v>3</v>
      </c>
      <c r="D267" s="329" t="s">
        <v>201</v>
      </c>
      <c r="E267" s="282">
        <v>2011</v>
      </c>
      <c r="F267" s="284">
        <v>5</v>
      </c>
      <c r="G267" s="307">
        <v>0</v>
      </c>
      <c r="H267" s="286"/>
      <c r="I267" s="308" t="s">
        <v>86</v>
      </c>
      <c r="J267" s="284">
        <v>10</v>
      </c>
      <c r="K267" s="309">
        <f t="shared" si="509"/>
        <v>2021</v>
      </c>
      <c r="N267" s="285">
        <v>16462</v>
      </c>
      <c r="P267" s="286">
        <f t="shared" si="510"/>
        <v>16462</v>
      </c>
      <c r="Q267" s="286">
        <f t="shared" si="511"/>
        <v>137.18333333333334</v>
      </c>
      <c r="R267" s="286">
        <f t="shared" si="512"/>
        <v>1646.2</v>
      </c>
      <c r="T267" s="286">
        <f t="shared" si="513"/>
        <v>1646.2</v>
      </c>
      <c r="U267" s="286">
        <v>1</v>
      </c>
      <c r="V267" s="286">
        <f t="shared" si="514"/>
        <v>1646.2</v>
      </c>
      <c r="W267" s="286"/>
      <c r="X267" s="286">
        <f t="shared" si="507"/>
        <v>9328.4666666667908</v>
      </c>
      <c r="Y267" s="286">
        <f t="shared" si="508"/>
        <v>9328.4666666667908</v>
      </c>
      <c r="Z267" s="286">
        <v>1</v>
      </c>
      <c r="AA267" s="286">
        <f t="shared" si="515"/>
        <v>9328.4666666667908</v>
      </c>
      <c r="AB267" s="286">
        <f t="shared" si="516"/>
        <v>10974.666666666792</v>
      </c>
      <c r="AC267" s="286">
        <f t="shared" si="517"/>
        <v>6310.4333333332088</v>
      </c>
      <c r="AD267" s="286">
        <f t="shared" si="518"/>
        <v>2011.3333333333333</v>
      </c>
      <c r="AE267" s="286">
        <f t="shared" si="519"/>
        <v>2018</v>
      </c>
      <c r="AF267" s="286">
        <f t="shared" si="520"/>
        <v>2021.3333333333333</v>
      </c>
      <c r="AG267" s="286">
        <f t="shared" si="521"/>
        <v>2017</v>
      </c>
      <c r="AH267" s="286">
        <f t="shared" si="522"/>
        <v>-8.3333333333333329E-2</v>
      </c>
      <c r="AJ267" s="11">
        <f t="shared" si="523"/>
        <v>0</v>
      </c>
      <c r="AL267" s="11">
        <f t="shared" si="524"/>
        <v>1646.2</v>
      </c>
      <c r="AN267" s="11">
        <f t="shared" si="525"/>
        <v>0</v>
      </c>
      <c r="AP267" s="11">
        <f t="shared" si="526"/>
        <v>0</v>
      </c>
      <c r="AR267" s="11">
        <f t="shared" si="527"/>
        <v>6310.4333333332088</v>
      </c>
    </row>
    <row r="268" spans="1:44">
      <c r="A268" s="282">
        <v>91082</v>
      </c>
      <c r="C268" s="282">
        <v>2</v>
      </c>
      <c r="D268" s="329" t="s">
        <v>202</v>
      </c>
      <c r="E268" s="282">
        <v>2012</v>
      </c>
      <c r="F268" s="284">
        <v>2</v>
      </c>
      <c r="G268" s="307">
        <v>0</v>
      </c>
      <c r="H268" s="286"/>
      <c r="I268" s="308" t="s">
        <v>86</v>
      </c>
      <c r="J268" s="284">
        <v>10</v>
      </c>
      <c r="K268" s="309">
        <f t="shared" si="509"/>
        <v>2022</v>
      </c>
      <c r="N268" s="285">
        <v>3772.11</v>
      </c>
      <c r="P268" s="286">
        <f t="shared" si="510"/>
        <v>3772.11</v>
      </c>
      <c r="Q268" s="286">
        <f t="shared" si="511"/>
        <v>31.434250000000002</v>
      </c>
      <c r="R268" s="286">
        <f t="shared" si="512"/>
        <v>377.21100000000001</v>
      </c>
      <c r="T268" s="286">
        <f t="shared" si="513"/>
        <v>377.21100000000001</v>
      </c>
      <c r="U268" s="286">
        <v>1</v>
      </c>
      <c r="V268" s="286">
        <f t="shared" si="514"/>
        <v>377.21100000000001</v>
      </c>
      <c r="W268" s="286"/>
      <c r="X268" s="286">
        <f t="shared" si="507"/>
        <v>1854.6207500000287</v>
      </c>
      <c r="Y268" s="286">
        <f t="shared" si="508"/>
        <v>1854.6207500000287</v>
      </c>
      <c r="Z268" s="286">
        <v>1</v>
      </c>
      <c r="AA268" s="286">
        <f t="shared" si="515"/>
        <v>1854.6207500000287</v>
      </c>
      <c r="AB268" s="286">
        <f t="shared" si="516"/>
        <v>2231.8317500000285</v>
      </c>
      <c r="AC268" s="286">
        <f t="shared" si="517"/>
        <v>1728.8837499999715</v>
      </c>
      <c r="AD268" s="286">
        <f t="shared" si="518"/>
        <v>2012.0833333333333</v>
      </c>
      <c r="AE268" s="286">
        <f t="shared" si="519"/>
        <v>2018</v>
      </c>
      <c r="AF268" s="286">
        <f t="shared" si="520"/>
        <v>2022.0833333333333</v>
      </c>
      <c r="AG268" s="286">
        <f t="shared" si="521"/>
        <v>2017</v>
      </c>
      <c r="AH268" s="286">
        <f t="shared" si="522"/>
        <v>-8.3333333333333329E-2</v>
      </c>
      <c r="AJ268" s="11">
        <f t="shared" si="523"/>
        <v>0</v>
      </c>
      <c r="AL268" s="11">
        <f t="shared" si="524"/>
        <v>377.21100000000001</v>
      </c>
      <c r="AN268" s="11">
        <f t="shared" si="525"/>
        <v>0</v>
      </c>
      <c r="AP268" s="11">
        <f t="shared" si="526"/>
        <v>0</v>
      </c>
      <c r="AR268" s="11">
        <f t="shared" si="527"/>
        <v>1728.8837499999715</v>
      </c>
    </row>
    <row r="269" spans="1:44">
      <c r="A269" s="282">
        <v>94620</v>
      </c>
      <c r="C269" s="282">
        <v>2</v>
      </c>
      <c r="D269" s="329" t="s">
        <v>203</v>
      </c>
      <c r="E269" s="282">
        <v>2012</v>
      </c>
      <c r="F269" s="284">
        <v>2</v>
      </c>
      <c r="G269" s="307">
        <v>0</v>
      </c>
      <c r="H269" s="286"/>
      <c r="I269" s="308" t="s">
        <v>86</v>
      </c>
      <c r="J269" s="284">
        <v>10</v>
      </c>
      <c r="K269" s="309">
        <f t="shared" si="509"/>
        <v>2022</v>
      </c>
      <c r="N269" s="285">
        <v>2180.86</v>
      </c>
      <c r="P269" s="286">
        <f t="shared" si="510"/>
        <v>2180.86</v>
      </c>
      <c r="Q269" s="286">
        <f t="shared" si="511"/>
        <v>18.173833333333334</v>
      </c>
      <c r="R269" s="286">
        <f t="shared" si="512"/>
        <v>218.08600000000001</v>
      </c>
      <c r="T269" s="286">
        <f t="shared" si="513"/>
        <v>218.08600000000001</v>
      </c>
      <c r="U269" s="286">
        <v>1</v>
      </c>
      <c r="V269" s="286">
        <f t="shared" si="514"/>
        <v>218.08600000000001</v>
      </c>
      <c r="W269" s="286"/>
      <c r="X269" s="286">
        <f t="shared" si="507"/>
        <v>1072.2561666666832</v>
      </c>
      <c r="Y269" s="286">
        <f t="shared" si="508"/>
        <v>1072.2561666666832</v>
      </c>
      <c r="Z269" s="286">
        <v>1</v>
      </c>
      <c r="AA269" s="286">
        <f t="shared" si="515"/>
        <v>1072.2561666666832</v>
      </c>
      <c r="AB269" s="286">
        <f t="shared" si="516"/>
        <v>1290.3421666666832</v>
      </c>
      <c r="AC269" s="286">
        <f t="shared" si="517"/>
        <v>999.56083333331696</v>
      </c>
      <c r="AD269" s="286">
        <f t="shared" si="518"/>
        <v>2012.0833333333333</v>
      </c>
      <c r="AE269" s="286">
        <f t="shared" si="519"/>
        <v>2018</v>
      </c>
      <c r="AF269" s="286">
        <f t="shared" si="520"/>
        <v>2022.0833333333333</v>
      </c>
      <c r="AG269" s="286">
        <f t="shared" si="521"/>
        <v>2017</v>
      </c>
      <c r="AH269" s="286">
        <f t="shared" si="522"/>
        <v>-8.3333333333333329E-2</v>
      </c>
      <c r="AJ269" s="11">
        <f t="shared" si="523"/>
        <v>0</v>
      </c>
      <c r="AL269" s="11">
        <f t="shared" si="524"/>
        <v>218.08600000000001</v>
      </c>
      <c r="AN269" s="11">
        <f t="shared" si="525"/>
        <v>0</v>
      </c>
      <c r="AP269" s="11">
        <f t="shared" si="526"/>
        <v>0</v>
      </c>
      <c r="AR269" s="11">
        <f t="shared" si="527"/>
        <v>999.56083333331696</v>
      </c>
    </row>
    <row r="270" spans="1:44">
      <c r="A270" s="282">
        <v>103242</v>
      </c>
      <c r="B270" s="284" t="s">
        <v>111</v>
      </c>
      <c r="C270" s="309">
        <v>4</v>
      </c>
      <c r="D270" s="306" t="s">
        <v>295</v>
      </c>
      <c r="E270" s="282">
        <v>2013</v>
      </c>
      <c r="F270" s="284">
        <v>3</v>
      </c>
      <c r="G270" s="307">
        <v>0</v>
      </c>
      <c r="H270" s="286"/>
      <c r="I270" s="308" t="s">
        <v>86</v>
      </c>
      <c r="J270" s="284">
        <v>10</v>
      </c>
      <c r="K270" s="309">
        <f t="shared" si="509"/>
        <v>2023</v>
      </c>
      <c r="N270" s="285">
        <v>5263.3</v>
      </c>
      <c r="O270" s="310"/>
      <c r="P270" s="286">
        <f t="shared" si="510"/>
        <v>5263.3</v>
      </c>
      <c r="Q270" s="286">
        <f t="shared" si="511"/>
        <v>43.860833333333339</v>
      </c>
      <c r="R270" s="286">
        <f t="shared" ref="R270" si="537">IF(O270&gt;0,0,IF(OR(AD270&gt;AE270,AF270&lt;AG270),0,IF(AND(AF270&gt;=AG270,AF270&lt;=AE270),Q270*((AF270-AG270)*12),IF(AND(AG270&lt;=AD270,AE270&gt;=AD270),((AE270-AD270)*12)*Q270,IF(AF270&gt;AE270,12*Q270,0)))))</f>
        <v>526.33000000000004</v>
      </c>
      <c r="T270" s="286">
        <f t="shared" ref="T270" si="538">IF(S270&gt;0,S270,R270)</f>
        <v>526.33000000000004</v>
      </c>
      <c r="U270" s="286">
        <v>1</v>
      </c>
      <c r="V270" s="286">
        <f t="shared" ref="V270" si="539">U270*SUM(R270:S270)</f>
        <v>526.33000000000004</v>
      </c>
      <c r="W270" s="286"/>
      <c r="X270" s="286">
        <f t="shared" ref="X270" si="540">IF(AD270&gt;AE270,0,IF(AF270&lt;AG270,P270,IF(AND(AF270&gt;=AG270,AF270&lt;=AE270),(P270-T270),IF(AND(AG270&lt;=AD270,AE270&gt;=AD270),0,IF(AF270&gt;AE270,((AG270-AD270)*12)*Q270,0)))))</f>
        <v>2017.5983333332938</v>
      </c>
      <c r="Y270" s="286">
        <f t="shared" ref="Y270" si="541">X270*U270</f>
        <v>2017.5983333332938</v>
      </c>
      <c r="Z270" s="286">
        <v>1</v>
      </c>
      <c r="AA270" s="286">
        <f t="shared" ref="AA270" si="542">Y270*Z270</f>
        <v>2017.5983333332938</v>
      </c>
      <c r="AB270" s="286">
        <f t="shared" ref="AB270" si="543">IF(O270&gt;0,0,AA270+V270*Z270)*Z270</f>
        <v>2543.9283333332937</v>
      </c>
      <c r="AC270" s="286">
        <f t="shared" ref="AC270" si="544">IF(O270&gt;0,(N270-AA270)/2,IF(AD270&gt;=AG270,(((N270*U270)*Z270)-AB270)/2,((((N270*U270)*Z270)-AA270)+(((N270*U270)*Z270)-AB270))/2))</f>
        <v>2982.5366666667064</v>
      </c>
      <c r="AD270" s="286">
        <f t="shared" si="518"/>
        <v>2013.1666666666667</v>
      </c>
      <c r="AE270" s="286">
        <f t="shared" si="519"/>
        <v>2018</v>
      </c>
      <c r="AF270" s="286">
        <f t="shared" si="520"/>
        <v>2023.1666666666667</v>
      </c>
      <c r="AG270" s="286">
        <f t="shared" si="521"/>
        <v>2017</v>
      </c>
      <c r="AH270" s="286">
        <f t="shared" si="522"/>
        <v>-8.3333333333333329E-2</v>
      </c>
      <c r="AJ270" s="11">
        <f t="shared" si="523"/>
        <v>0</v>
      </c>
      <c r="AL270" s="11">
        <f t="shared" si="524"/>
        <v>526.33000000000004</v>
      </c>
      <c r="AN270" s="11">
        <f t="shared" si="525"/>
        <v>0</v>
      </c>
      <c r="AP270" s="11">
        <f t="shared" si="526"/>
        <v>0</v>
      </c>
      <c r="AR270" s="11">
        <f t="shared" si="527"/>
        <v>2982.5366666667064</v>
      </c>
    </row>
    <row r="271" spans="1:44">
      <c r="A271" s="282">
        <v>107054</v>
      </c>
      <c r="B271" s="284"/>
      <c r="C271" s="309">
        <v>3</v>
      </c>
      <c r="D271" s="306" t="s">
        <v>298</v>
      </c>
      <c r="E271" s="282">
        <v>2013</v>
      </c>
      <c r="F271" s="284">
        <v>8</v>
      </c>
      <c r="G271" s="307">
        <v>0</v>
      </c>
      <c r="H271" s="286"/>
      <c r="I271" s="308" t="s">
        <v>86</v>
      </c>
      <c r="J271" s="284">
        <v>10</v>
      </c>
      <c r="K271" s="309">
        <f t="shared" si="509"/>
        <v>2023</v>
      </c>
      <c r="N271" s="285">
        <v>9676</v>
      </c>
      <c r="O271" s="310"/>
      <c r="P271" s="286">
        <f t="shared" si="510"/>
        <v>9676</v>
      </c>
      <c r="Q271" s="286">
        <f t="shared" si="511"/>
        <v>80.63333333333334</v>
      </c>
      <c r="R271" s="286">
        <f t="shared" ref="R271" si="545">IF(O271&gt;0,0,IF(OR(AD271&gt;AE271,AF271&lt;AG271),0,IF(AND(AF271&gt;=AG271,AF271&lt;=AE271),Q271*((AF271-AG271)*12),IF(AND(AG271&lt;=AD271,AE271&gt;=AD271),((AE271-AD271)*12)*Q271,IF(AF271&gt;AE271,12*Q271,0)))))</f>
        <v>967.60000000000014</v>
      </c>
      <c r="T271" s="286">
        <f t="shared" ref="T271" si="546">IF(S271&gt;0,S271,R271)</f>
        <v>967.60000000000014</v>
      </c>
      <c r="U271" s="286">
        <v>1</v>
      </c>
      <c r="V271" s="286">
        <f t="shared" ref="V271" si="547">U271*SUM(R271:S271)</f>
        <v>967.60000000000014</v>
      </c>
      <c r="W271" s="286"/>
      <c r="X271" s="286">
        <f t="shared" ref="X271" si="548">IF(AD271&gt;AE271,0,IF(AF271&lt;AG271,P271,IF(AND(AF271&gt;=AG271,AF271&lt;=AE271),(P271-T271),IF(AND(AG271&lt;=AD271,AE271&gt;=AD271),0,IF(AF271&gt;AE271,((AG271-AD271)*12)*Q271,0)))))</f>
        <v>3305.9666666667404</v>
      </c>
      <c r="Y271" s="286">
        <f t="shared" ref="Y271" si="549">X271*U271</f>
        <v>3305.9666666667404</v>
      </c>
      <c r="Z271" s="286">
        <v>1</v>
      </c>
      <c r="AA271" s="286">
        <f t="shared" ref="AA271" si="550">Y271*Z271</f>
        <v>3305.9666666667404</v>
      </c>
      <c r="AB271" s="286">
        <f t="shared" ref="AB271" si="551">IF(O271&gt;0,0,AA271+V271*Z271)*Z271</f>
        <v>4273.5666666667403</v>
      </c>
      <c r="AC271" s="286">
        <f t="shared" ref="AC271" si="552">IF(O271&gt;0,(N271-AA271)/2,IF(AD271&gt;=AG271,(((N271*U271)*Z271)-AB271)/2,((((N271*U271)*Z271)-AA271)+(((N271*U271)*Z271)-AB271))/2))</f>
        <v>5886.2333333332599</v>
      </c>
      <c r="AD271" s="286">
        <f t="shared" si="518"/>
        <v>2013.5833333333333</v>
      </c>
      <c r="AE271" s="286">
        <f t="shared" si="519"/>
        <v>2018</v>
      </c>
      <c r="AF271" s="286">
        <f t="shared" si="520"/>
        <v>2023.5833333333333</v>
      </c>
      <c r="AG271" s="286">
        <f t="shared" si="521"/>
        <v>2017</v>
      </c>
      <c r="AH271" s="286">
        <f t="shared" si="522"/>
        <v>-8.3333333333333329E-2</v>
      </c>
      <c r="AJ271" s="11">
        <f t="shared" si="523"/>
        <v>0</v>
      </c>
      <c r="AL271" s="11">
        <f t="shared" si="524"/>
        <v>967.60000000000014</v>
      </c>
      <c r="AN271" s="11">
        <f t="shared" si="525"/>
        <v>0</v>
      </c>
      <c r="AP271" s="11">
        <f t="shared" si="526"/>
        <v>0</v>
      </c>
      <c r="AR271" s="11">
        <f t="shared" si="527"/>
        <v>5886.2333333332599</v>
      </c>
    </row>
    <row r="272" spans="1:44">
      <c r="A272" s="282">
        <v>109995</v>
      </c>
      <c r="B272" s="284"/>
      <c r="C272" s="309">
        <v>4</v>
      </c>
      <c r="D272" s="306" t="s">
        <v>311</v>
      </c>
      <c r="E272" s="282">
        <v>2013</v>
      </c>
      <c r="F272" s="284">
        <v>12</v>
      </c>
      <c r="G272" s="307">
        <v>0</v>
      </c>
      <c r="H272" s="286"/>
      <c r="I272" s="308" t="s">
        <v>86</v>
      </c>
      <c r="J272" s="284">
        <v>10</v>
      </c>
      <c r="K272" s="309">
        <f t="shared" si="509"/>
        <v>2023</v>
      </c>
      <c r="N272" s="285">
        <v>24400</v>
      </c>
      <c r="O272" s="310"/>
      <c r="P272" s="286">
        <f t="shared" si="510"/>
        <v>24400</v>
      </c>
      <c r="Q272" s="286">
        <f t="shared" si="511"/>
        <v>203.33333333333334</v>
      </c>
      <c r="R272" s="286">
        <f t="shared" ref="R272" si="553">IF(O272&gt;0,0,IF(OR(AD272&gt;AE272,AF272&lt;AG272),0,IF(AND(AF272&gt;=AG272,AF272&lt;=AE272),Q272*((AF272-AG272)*12),IF(AND(AG272&lt;=AD272,AE272&gt;=AD272),((AE272-AD272)*12)*Q272,IF(AF272&gt;AE272,12*Q272,0)))))</f>
        <v>2440</v>
      </c>
      <c r="T272" s="286">
        <f t="shared" ref="T272" si="554">IF(S272&gt;0,S272,R272)</f>
        <v>2440</v>
      </c>
      <c r="U272" s="286">
        <v>1</v>
      </c>
      <c r="V272" s="286">
        <f t="shared" ref="V272" si="555">U272*SUM(R272:S272)</f>
        <v>2440</v>
      </c>
      <c r="W272" s="286"/>
      <c r="X272" s="286">
        <f t="shared" ref="X272" si="556">IF(AD272&gt;AE272,0,IF(AF272&lt;AG272,P272,IF(AND(AF272&gt;=AG272,AF272&lt;=AE272),(P272-T272),IF(AND(AG272&lt;=AD272,AE272&gt;=AD272),0,IF(AF272&gt;AE272,((AG272-AD272)*12)*Q272,0)))))</f>
        <v>7523.3333333331484</v>
      </c>
      <c r="Y272" s="286">
        <f t="shared" ref="Y272" si="557">X272*U272</f>
        <v>7523.3333333331484</v>
      </c>
      <c r="Z272" s="286">
        <v>1</v>
      </c>
      <c r="AA272" s="286">
        <f t="shared" ref="AA272" si="558">Y272*Z272</f>
        <v>7523.3333333331484</v>
      </c>
      <c r="AB272" s="286">
        <f t="shared" ref="AB272" si="559">IF(O272&gt;0,0,AA272+V272*Z272)*Z272</f>
        <v>9963.3333333331484</v>
      </c>
      <c r="AC272" s="286">
        <f t="shared" ref="AC272" si="560">IF(O272&gt;0,(N272-AA272)/2,IF(AD272&gt;=AG272,(((N272*U272)*Z272)-AB272)/2,((((N272*U272)*Z272)-AA272)+(((N272*U272)*Z272)-AB272))/2))</f>
        <v>15656.666666666853</v>
      </c>
      <c r="AD272" s="286">
        <f t="shared" si="518"/>
        <v>2013.9166666666667</v>
      </c>
      <c r="AE272" s="286">
        <f t="shared" si="519"/>
        <v>2018</v>
      </c>
      <c r="AF272" s="286">
        <f t="shared" si="520"/>
        <v>2023.9166666666667</v>
      </c>
      <c r="AG272" s="286">
        <f t="shared" si="521"/>
        <v>2017</v>
      </c>
      <c r="AH272" s="286">
        <f t="shared" si="522"/>
        <v>-8.3333333333333329E-2</v>
      </c>
      <c r="AJ272" s="11">
        <f t="shared" si="523"/>
        <v>0</v>
      </c>
      <c r="AL272" s="11">
        <f t="shared" si="524"/>
        <v>2440</v>
      </c>
      <c r="AN272" s="11">
        <f t="shared" si="525"/>
        <v>0</v>
      </c>
      <c r="AP272" s="11">
        <f t="shared" si="526"/>
        <v>0</v>
      </c>
      <c r="AR272" s="11">
        <f t="shared" si="527"/>
        <v>15656.666666666853</v>
      </c>
    </row>
    <row r="273" spans="1:44">
      <c r="A273" s="282">
        <v>118137</v>
      </c>
      <c r="B273" s="284"/>
      <c r="C273" s="309">
        <v>60</v>
      </c>
      <c r="D273" s="306" t="s">
        <v>320</v>
      </c>
      <c r="E273" s="282">
        <v>2014</v>
      </c>
      <c r="F273" s="284">
        <v>12</v>
      </c>
      <c r="G273" s="307">
        <v>0</v>
      </c>
      <c r="H273" s="286"/>
      <c r="I273" s="308" t="s">
        <v>86</v>
      </c>
      <c r="J273" s="284">
        <v>5</v>
      </c>
      <c r="K273" s="309">
        <f t="shared" si="509"/>
        <v>2019</v>
      </c>
      <c r="N273" s="285">
        <v>12580.08</v>
      </c>
      <c r="O273" s="310"/>
      <c r="P273" s="286">
        <f t="shared" si="510"/>
        <v>12580.08</v>
      </c>
      <c r="Q273" s="286">
        <f t="shared" si="511"/>
        <v>209.66800000000001</v>
      </c>
      <c r="R273" s="286">
        <f t="shared" ref="R273" si="561">IF(O273&gt;0,0,IF(OR(AD273&gt;AE273,AF273&lt;AG273),0,IF(AND(AF273&gt;=AG273,AF273&lt;=AE273),Q273*((AF273-AG273)*12),IF(AND(AG273&lt;=AD273,AE273&gt;=AD273),((AE273-AD273)*12)*Q273,IF(AF273&gt;AE273,12*Q273,0)))))</f>
        <v>2516.0160000000001</v>
      </c>
      <c r="T273" s="286">
        <f t="shared" ref="T273" si="562">IF(S273&gt;0,S273,R273)</f>
        <v>2516.0160000000001</v>
      </c>
      <c r="U273" s="286">
        <v>1</v>
      </c>
      <c r="V273" s="286">
        <f t="shared" ref="V273" si="563">U273*SUM(R273:S273)</f>
        <v>2516.0160000000001</v>
      </c>
      <c r="W273" s="286"/>
      <c r="X273" s="286">
        <f t="shared" ref="X273" si="564">IF(AD273&gt;AE273,0,IF(AF273&lt;AG273,P273,IF(AND(AF273&gt;=AG273,AF273&lt;=AE273),(P273-T273),IF(AND(AG273&lt;=AD273,AE273&gt;=AD273),0,IF(AF273&gt;AE273,((AG273-AD273)*12)*Q273,0)))))</f>
        <v>5241.6999999998097</v>
      </c>
      <c r="Y273" s="286">
        <f t="shared" ref="Y273" si="565">X273*U273</f>
        <v>5241.6999999998097</v>
      </c>
      <c r="Z273" s="286">
        <v>1</v>
      </c>
      <c r="AA273" s="286">
        <f t="shared" ref="AA273" si="566">Y273*Z273</f>
        <v>5241.6999999998097</v>
      </c>
      <c r="AB273" s="286">
        <f t="shared" ref="AB273" si="567">IF(O273&gt;0,0,AA273+V273*Z273)*Z273</f>
        <v>7757.7159999998094</v>
      </c>
      <c r="AC273" s="286">
        <f t="shared" ref="AC273" si="568">IF(O273&gt;0,(N273-AA273)/2,IF(AD273&gt;=AG273,(((N273*U273)*Z273)-AB273)/2,((((N273*U273)*Z273)-AA273)+(((N273*U273)*Z273)-AB273))/2))</f>
        <v>6080.3720000001904</v>
      </c>
      <c r="AD273" s="286">
        <f t="shared" si="518"/>
        <v>2014.9166666666667</v>
      </c>
      <c r="AE273" s="286">
        <f t="shared" si="519"/>
        <v>2018</v>
      </c>
      <c r="AF273" s="286">
        <f t="shared" si="520"/>
        <v>2019.9166666666667</v>
      </c>
      <c r="AG273" s="286">
        <f t="shared" si="521"/>
        <v>2017</v>
      </c>
      <c r="AH273" s="286">
        <f t="shared" si="522"/>
        <v>-8.3333333333333329E-2</v>
      </c>
      <c r="AJ273" s="11">
        <f t="shared" si="523"/>
        <v>0</v>
      </c>
      <c r="AL273" s="11">
        <f t="shared" si="524"/>
        <v>2516.0160000000001</v>
      </c>
      <c r="AN273" s="11">
        <f t="shared" si="525"/>
        <v>0</v>
      </c>
      <c r="AP273" s="11">
        <f t="shared" si="526"/>
        <v>0</v>
      </c>
      <c r="AR273" s="11">
        <f t="shared" si="527"/>
        <v>6080.3720000001904</v>
      </c>
    </row>
    <row r="274" spans="1:44">
      <c r="A274" s="282">
        <v>132888</v>
      </c>
      <c r="B274" s="284"/>
      <c r="C274" s="309">
        <v>1</v>
      </c>
      <c r="D274" s="306" t="s">
        <v>344</v>
      </c>
      <c r="E274" s="282">
        <v>2016</v>
      </c>
      <c r="F274" s="284">
        <v>4</v>
      </c>
      <c r="G274" s="307">
        <v>0</v>
      </c>
      <c r="H274" s="286"/>
      <c r="I274" s="308" t="s">
        <v>86</v>
      </c>
      <c r="J274" s="284">
        <v>10</v>
      </c>
      <c r="K274" s="309">
        <f t="shared" si="509"/>
        <v>2026</v>
      </c>
      <c r="N274" s="285">
        <v>5420</v>
      </c>
      <c r="O274" s="310"/>
      <c r="P274" s="286">
        <f t="shared" si="510"/>
        <v>5420</v>
      </c>
      <c r="Q274" s="286">
        <f t="shared" si="511"/>
        <v>45.166666666666664</v>
      </c>
      <c r="R274" s="286">
        <f t="shared" ref="R274" si="569">IF(O274&gt;0,0,IF(OR(AD274&gt;AE274,AF274&lt;AG274),0,IF(AND(AF274&gt;=AG274,AF274&lt;=AE274),Q274*((AF274-AG274)*12),IF(AND(AG274&lt;=AD274,AE274&gt;=AD274),((AE274-AD274)*12)*Q274,IF(AF274&gt;AE274,12*Q274,0)))))</f>
        <v>542</v>
      </c>
      <c r="T274" s="286">
        <f t="shared" ref="T274" si="570">IF(S274&gt;0,S274,R274)</f>
        <v>542</v>
      </c>
      <c r="U274" s="286">
        <v>1</v>
      </c>
      <c r="V274" s="286">
        <f t="shared" ref="V274" si="571">U274*SUM(R274:S274)</f>
        <v>542</v>
      </c>
      <c r="W274" s="286"/>
      <c r="X274" s="286">
        <f t="shared" ref="X274" si="572">IF(AD274&gt;AE274,0,IF(AF274&lt;AG274,P274,IF(AND(AF274&gt;=AG274,AF274&lt;=AE274),(P274-T274),IF(AND(AG274&lt;=AD274,AE274&gt;=AD274),0,IF(AF274&gt;AE274,((AG274-AD274)*12)*Q274,0)))))</f>
        <v>406.5</v>
      </c>
      <c r="Y274" s="286">
        <f t="shared" ref="Y274" si="573">X274*U274</f>
        <v>406.5</v>
      </c>
      <c r="Z274" s="286">
        <v>1</v>
      </c>
      <c r="AA274" s="286">
        <f t="shared" ref="AA274" si="574">Y274*Z274</f>
        <v>406.5</v>
      </c>
      <c r="AB274" s="286">
        <f t="shared" ref="AB274" si="575">IF(O274&gt;0,0,AA274+V274*Z274)*Z274</f>
        <v>948.5</v>
      </c>
      <c r="AC274" s="286">
        <f t="shared" ref="AC274" si="576">IF(O274&gt;0,(N274-AA274)/2,IF(AD274&gt;=AG274,(((N274*U274)*Z274)-AB274)/2,((((N274*U274)*Z274)-AA274)+(((N274*U274)*Z274)-AB274))/2))</f>
        <v>4742.5</v>
      </c>
      <c r="AD274" s="286">
        <f t="shared" si="518"/>
        <v>2016.25</v>
      </c>
      <c r="AE274" s="286">
        <f t="shared" si="519"/>
        <v>2018</v>
      </c>
      <c r="AF274" s="286">
        <f t="shared" si="520"/>
        <v>2026.25</v>
      </c>
      <c r="AG274" s="286">
        <f t="shared" si="521"/>
        <v>2017</v>
      </c>
      <c r="AH274" s="286">
        <f t="shared" si="522"/>
        <v>-8.3333333333333329E-2</v>
      </c>
      <c r="AJ274" s="11">
        <f t="shared" si="523"/>
        <v>0</v>
      </c>
      <c r="AL274" s="11">
        <f t="shared" si="524"/>
        <v>542</v>
      </c>
      <c r="AN274" s="11">
        <f t="shared" si="525"/>
        <v>0</v>
      </c>
      <c r="AP274" s="11">
        <f t="shared" si="526"/>
        <v>0</v>
      </c>
      <c r="AR274" s="11">
        <f t="shared" si="527"/>
        <v>4742.5</v>
      </c>
    </row>
    <row r="275" spans="1:44">
      <c r="A275" s="282">
        <v>172664</v>
      </c>
      <c r="B275" s="284"/>
      <c r="C275" s="309">
        <v>4</v>
      </c>
      <c r="D275" s="306" t="s">
        <v>385</v>
      </c>
      <c r="E275" s="282">
        <v>2017</v>
      </c>
      <c r="F275" s="284">
        <v>1</v>
      </c>
      <c r="G275" s="307">
        <v>0</v>
      </c>
      <c r="H275" s="286"/>
      <c r="I275" s="308" t="s">
        <v>86</v>
      </c>
      <c r="J275" s="284">
        <v>12</v>
      </c>
      <c r="K275" s="309">
        <f>E275+J275</f>
        <v>2029</v>
      </c>
      <c r="N275" s="285">
        <v>23420</v>
      </c>
      <c r="O275" s="310"/>
      <c r="P275" s="286">
        <f>N275-N275*G275</f>
        <v>23420</v>
      </c>
      <c r="Q275" s="286">
        <f>P275/J275/12</f>
        <v>162.63888888888889</v>
      </c>
      <c r="R275" s="286">
        <f t="shared" ref="R275" si="577">IF(O275&gt;0,0,IF(OR(AD275&gt;AE275,AF275&lt;AG275),0,IF(AND(AF275&gt;=AG275,AF275&lt;=AE275),Q275*((AF275-AG275)*12),IF(AND(AG275&lt;=AD275,AE275&gt;=AD275),((AE275-AD275)*12)*Q275,IF(AF275&gt;AE275,12*Q275,0)))))</f>
        <v>1951.6666666666665</v>
      </c>
      <c r="T275" s="286">
        <f t="shared" ref="T275" si="578">IF(S275&gt;0,S275,R275)</f>
        <v>1951.6666666666665</v>
      </c>
      <c r="U275" s="286">
        <v>1</v>
      </c>
      <c r="V275" s="286">
        <f t="shared" ref="V275" si="579">U275*SUM(R275:S275)</f>
        <v>1951.6666666666665</v>
      </c>
      <c r="W275" s="286"/>
      <c r="X275" s="286">
        <f t="shared" ref="X275" si="580">IF(AD275&gt;AE275,0,IF(AF275&lt;AG275,P275,IF(AND(AF275&gt;=AG275,AF275&lt;=AE275),(P275-T275),IF(AND(AG275&lt;=AD275,AE275&gt;=AD275),0,IF(AF275&gt;AE275,((AG275-AD275)*12)*Q275,0)))))</f>
        <v>0</v>
      </c>
      <c r="Y275" s="286">
        <f t="shared" ref="Y275" si="581">X275*U275</f>
        <v>0</v>
      </c>
      <c r="Z275" s="286">
        <v>1</v>
      </c>
      <c r="AA275" s="286">
        <f t="shared" ref="AA275" si="582">Y275*Z275</f>
        <v>0</v>
      </c>
      <c r="AB275" s="286">
        <f t="shared" ref="AB275" si="583">IF(O275&gt;0,0,AA275+V275*Z275)*Z275</f>
        <v>1951.6666666666665</v>
      </c>
      <c r="AC275" s="286">
        <f t="shared" ref="AC275" si="584">IF(O275&gt;0,(N275-AA275)/2,IF(AD275&gt;=AG275,(((N275*U275)*Z275)-AB275)/2,((((N275*U275)*Z275)-AA275)+(((N275*U275)*Z275)-AB275))/2))</f>
        <v>10734.166666666666</v>
      </c>
      <c r="AD275" s="286">
        <f>$E275+(($F275-1)/12)</f>
        <v>2017</v>
      </c>
      <c r="AE275" s="286">
        <f t="shared" si="519"/>
        <v>2018</v>
      </c>
      <c r="AF275" s="286">
        <f>$K275+(($F275-1)/12)</f>
        <v>2029</v>
      </c>
      <c r="AG275" s="286">
        <f t="shared" si="521"/>
        <v>2017</v>
      </c>
      <c r="AH275" s="286">
        <f>$L275+(($M275-1)/12)</f>
        <v>-8.3333333333333329E-2</v>
      </c>
      <c r="AJ275" s="11">
        <f t="shared" si="523"/>
        <v>0</v>
      </c>
      <c r="AL275" s="11">
        <f t="shared" si="524"/>
        <v>1951.6666666666665</v>
      </c>
      <c r="AN275" s="11">
        <f t="shared" si="525"/>
        <v>0</v>
      </c>
      <c r="AP275" s="11">
        <f t="shared" si="526"/>
        <v>0</v>
      </c>
      <c r="AR275" s="11">
        <f t="shared" si="527"/>
        <v>10734.166666666666</v>
      </c>
    </row>
    <row r="276" spans="1:44">
      <c r="A276" s="282">
        <v>172663</v>
      </c>
      <c r="B276" s="284"/>
      <c r="C276" s="309">
        <v>4</v>
      </c>
      <c r="D276" s="306" t="s">
        <v>386</v>
      </c>
      <c r="E276" s="282">
        <v>2017</v>
      </c>
      <c r="F276" s="284">
        <v>1</v>
      </c>
      <c r="G276" s="307">
        <v>0</v>
      </c>
      <c r="H276" s="286"/>
      <c r="I276" s="308" t="s">
        <v>86</v>
      </c>
      <c r="J276" s="284">
        <v>12</v>
      </c>
      <c r="K276" s="309">
        <f>E276+J276</f>
        <v>2029</v>
      </c>
      <c r="N276" s="285">
        <v>27792</v>
      </c>
      <c r="O276" s="310"/>
      <c r="P276" s="286">
        <f>N276-N276*G276</f>
        <v>27792</v>
      </c>
      <c r="Q276" s="286">
        <f>P276/J276/12</f>
        <v>193</v>
      </c>
      <c r="R276" s="286">
        <f t="shared" ref="R276" si="585">IF(O276&gt;0,0,IF(OR(AD276&gt;AE276,AF276&lt;AG276),0,IF(AND(AF276&gt;=AG276,AF276&lt;=AE276),Q276*((AF276-AG276)*12),IF(AND(AG276&lt;=AD276,AE276&gt;=AD276),((AE276-AD276)*12)*Q276,IF(AF276&gt;AE276,12*Q276,0)))))</f>
        <v>2316</v>
      </c>
      <c r="T276" s="286">
        <f t="shared" ref="T276" si="586">IF(S276&gt;0,S276,R276)</f>
        <v>2316</v>
      </c>
      <c r="U276" s="286">
        <v>1</v>
      </c>
      <c r="V276" s="286">
        <f t="shared" ref="V276" si="587">U276*SUM(R276:S276)</f>
        <v>2316</v>
      </c>
      <c r="W276" s="286"/>
      <c r="X276" s="286">
        <f t="shared" ref="X276" si="588">IF(AD276&gt;AE276,0,IF(AF276&lt;AG276,P276,IF(AND(AF276&gt;=AG276,AF276&lt;=AE276),(P276-T276),IF(AND(AG276&lt;=AD276,AE276&gt;=AD276),0,IF(AF276&gt;AE276,((AG276-AD276)*12)*Q276,0)))))</f>
        <v>0</v>
      </c>
      <c r="Y276" s="286">
        <f t="shared" ref="Y276" si="589">X276*U276</f>
        <v>0</v>
      </c>
      <c r="Z276" s="286">
        <v>1</v>
      </c>
      <c r="AA276" s="286">
        <f t="shared" ref="AA276" si="590">Y276*Z276</f>
        <v>0</v>
      </c>
      <c r="AB276" s="286">
        <f t="shared" ref="AB276" si="591">IF(O276&gt;0,0,AA276+V276*Z276)*Z276</f>
        <v>2316</v>
      </c>
      <c r="AC276" s="286">
        <f t="shared" ref="AC276" si="592">IF(O276&gt;0,(N276-AA276)/2,IF(AD276&gt;=AG276,(((N276*U276)*Z276)-AB276)/2,((((N276*U276)*Z276)-AA276)+(((N276*U276)*Z276)-AB276))/2))</f>
        <v>12738</v>
      </c>
      <c r="AD276" s="286">
        <f>$E276+(($F276-1)/12)</f>
        <v>2017</v>
      </c>
      <c r="AE276" s="286">
        <f t="shared" si="519"/>
        <v>2018</v>
      </c>
      <c r="AF276" s="286">
        <f>$K276+(($F276-1)/12)</f>
        <v>2029</v>
      </c>
      <c r="AG276" s="286">
        <f t="shared" si="521"/>
        <v>2017</v>
      </c>
      <c r="AH276" s="286">
        <f>$L276+(($M276-1)/12)</f>
        <v>-8.3333333333333329E-2</v>
      </c>
      <c r="AJ276" s="11">
        <f t="shared" si="523"/>
        <v>0</v>
      </c>
      <c r="AL276" s="11">
        <f t="shared" si="524"/>
        <v>2316</v>
      </c>
      <c r="AN276" s="11">
        <f t="shared" si="525"/>
        <v>0</v>
      </c>
      <c r="AP276" s="11">
        <f t="shared" si="526"/>
        <v>0</v>
      </c>
      <c r="AR276" s="11">
        <f t="shared" si="527"/>
        <v>12738</v>
      </c>
    </row>
    <row r="277" spans="1:44">
      <c r="D277" s="329"/>
      <c r="H277" s="286"/>
      <c r="I277" s="308"/>
      <c r="K277" s="309"/>
      <c r="P277" s="286"/>
      <c r="Q277" s="286"/>
      <c r="R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</row>
    <row r="278" spans="1:44">
      <c r="C278" s="311">
        <f>SUM(C233:C277)</f>
        <v>189</v>
      </c>
      <c r="D278" s="311" t="s">
        <v>204</v>
      </c>
      <c r="H278" s="286"/>
      <c r="I278" s="308"/>
      <c r="K278" s="309"/>
      <c r="N278" s="319">
        <f>SUM(N233:N277)</f>
        <v>493234.8</v>
      </c>
      <c r="O278" s="327"/>
      <c r="P278" s="315">
        <f>SUM(P233:P277)</f>
        <v>493234.8</v>
      </c>
      <c r="Q278" s="315">
        <f>SUM(Q233:Q277)</f>
        <v>4143.9962222222221</v>
      </c>
      <c r="R278" s="315">
        <f>SUM(R233:R277)</f>
        <v>17929.854666666375</v>
      </c>
      <c r="S278" s="315">
        <f>SUM(S233:S277)</f>
        <v>0</v>
      </c>
      <c r="T278" s="315">
        <f>SUM(T233:T277)</f>
        <v>17929.854666666375</v>
      </c>
      <c r="U278" s="315"/>
      <c r="V278" s="315">
        <f>SUM(V233:V277)</f>
        <v>17929.854666666375</v>
      </c>
      <c r="W278" s="315"/>
      <c r="X278" s="315">
        <f t="shared" ref="X278:AC278" si="593">SUM(X233:X277)</f>
        <v>385354.80649999995</v>
      </c>
      <c r="Y278" s="315">
        <f t="shared" si="593"/>
        <v>385354.80649999995</v>
      </c>
      <c r="Z278" s="315">
        <f t="shared" si="593"/>
        <v>44</v>
      </c>
      <c r="AA278" s="315">
        <f t="shared" si="593"/>
        <v>385354.80649999995</v>
      </c>
      <c r="AB278" s="315">
        <f t="shared" si="593"/>
        <v>403284.66116666642</v>
      </c>
      <c r="AC278" s="315">
        <f t="shared" si="593"/>
        <v>73309.066166666831</v>
      </c>
      <c r="AD278" s="323"/>
      <c r="AE278" s="323"/>
      <c r="AF278" s="323"/>
      <c r="AG278" s="323"/>
      <c r="AH278" s="323"/>
      <c r="AJ278" s="7">
        <f t="shared" ref="AJ278:AR278" si="594">SUM(AJ233:AJ277)</f>
        <v>0</v>
      </c>
      <c r="AK278" s="7">
        <f t="shared" si="594"/>
        <v>0</v>
      </c>
      <c r="AL278" s="7">
        <f t="shared" si="594"/>
        <v>17929.854666666375</v>
      </c>
      <c r="AM278" s="7">
        <f t="shared" si="594"/>
        <v>0</v>
      </c>
      <c r="AN278" s="7">
        <f t="shared" si="594"/>
        <v>0</v>
      </c>
      <c r="AO278" s="7">
        <f t="shared" si="594"/>
        <v>0</v>
      </c>
      <c r="AP278" s="7">
        <f t="shared" si="594"/>
        <v>0</v>
      </c>
      <c r="AQ278" s="7">
        <f t="shared" si="594"/>
        <v>0</v>
      </c>
      <c r="AR278" s="7">
        <f t="shared" si="594"/>
        <v>73309.066166666831</v>
      </c>
    </row>
    <row r="279" spans="1:44">
      <c r="C279" s="311"/>
      <c r="D279" s="311"/>
      <c r="H279" s="286"/>
      <c r="I279" s="308"/>
      <c r="K279" s="309"/>
      <c r="N279" s="330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286"/>
      <c r="AE279" s="286"/>
      <c r="AF279" s="286"/>
      <c r="AG279" s="286"/>
      <c r="AH279" s="286"/>
    </row>
    <row r="280" spans="1:44">
      <c r="C280" s="311"/>
      <c r="D280" s="311" t="s">
        <v>205</v>
      </c>
      <c r="H280" s="286"/>
      <c r="I280" s="308"/>
      <c r="K280" s="309"/>
      <c r="N280" s="330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286"/>
      <c r="AE280" s="286"/>
      <c r="AF280" s="286"/>
      <c r="AG280" s="286"/>
      <c r="AH280" s="286"/>
    </row>
    <row r="281" spans="1:44">
      <c r="C281" s="282">
        <v>2000</v>
      </c>
      <c r="D281" s="282" t="s">
        <v>206</v>
      </c>
      <c r="E281" s="282">
        <v>2007</v>
      </c>
      <c r="F281" s="284">
        <v>9</v>
      </c>
      <c r="G281" s="307">
        <v>0</v>
      </c>
      <c r="H281" s="286"/>
      <c r="I281" s="308" t="s">
        <v>86</v>
      </c>
      <c r="J281" s="284">
        <v>7</v>
      </c>
      <c r="K281" s="309">
        <f t="shared" ref="K281:K297" si="595">E281+J281</f>
        <v>2014</v>
      </c>
      <c r="N281" s="285">
        <f>(32.5*2000)+3530+5893.58</f>
        <v>74423.58</v>
      </c>
      <c r="P281" s="286">
        <f t="shared" ref="P281:P302" si="596">N281-N281*G281</f>
        <v>74423.58</v>
      </c>
      <c r="Q281" s="286">
        <f t="shared" ref="Q281:Q302" si="597">P281/J281/12</f>
        <v>885.995</v>
      </c>
      <c r="R281" s="286">
        <f t="shared" ref="R281:R296" si="598">IF(O281&gt;0,0,IF(OR(AD281&gt;AE281,AF281&lt;AG281),0,IF(AND(AF281&gt;=AG281,AF281&lt;=AE281),Q281*((AF281-AG281)*12),IF(AND(AG281&lt;=AD281,AE281&gt;=AD281),((AE281-AD281)*12)*Q281,IF(AF281&gt;AE281,12*Q281,0)))))</f>
        <v>0</v>
      </c>
      <c r="T281" s="286">
        <f t="shared" ref="T281:T296" si="599">IF(S281&gt;0,S281,R281)</f>
        <v>0</v>
      </c>
      <c r="U281" s="286">
        <v>1</v>
      </c>
      <c r="V281" s="286">
        <f t="shared" ref="V281:V296" si="600">U281*SUM(R281:S281)</f>
        <v>0</v>
      </c>
      <c r="W281" s="286"/>
      <c r="X281" s="286">
        <f t="shared" ref="X281:X296" si="601">IF(AD281&gt;AE281,0,IF(AF281&lt;AG281,P281,IF(AND(AF281&gt;=AG281,AF281&lt;=AE281),(P281-T281),IF(AND(AG281&lt;=AD281,AE281&gt;=AD281),0,IF(AF281&gt;AE281,((AG281-AD281)*12)*Q281,0)))))</f>
        <v>74423.58</v>
      </c>
      <c r="Y281" s="286">
        <f t="shared" ref="Y281:Y296" si="602">X281*U281</f>
        <v>74423.58</v>
      </c>
      <c r="Z281" s="286">
        <v>1</v>
      </c>
      <c r="AA281" s="286">
        <f t="shared" ref="AA281:AA296" si="603">Y281*Z281</f>
        <v>74423.58</v>
      </c>
      <c r="AB281" s="286">
        <f t="shared" ref="AB281:AB296" si="604">IF(O281&gt;0,0,AA281+V281*Z281)*Z281</f>
        <v>74423.58</v>
      </c>
      <c r="AC281" s="286">
        <f t="shared" ref="AC281:AC296" si="605">IF(O281&gt;0,(N281-AA281)/2,IF(AD281&gt;=AG281,(((N281*U281)*Z281)-AB281)/2,((((N281*U281)*Z281)-AA281)+(((N281*U281)*Z281)-AB281))/2))</f>
        <v>0</v>
      </c>
      <c r="AD281" s="286">
        <f t="shared" ref="AD281:AD321" si="606">$E281+(($F281-1)/12)</f>
        <v>2007.6666666666667</v>
      </c>
      <c r="AE281" s="286">
        <f t="shared" ref="AE281:AE321" si="607">($P$5+1)-($P$2/12)</f>
        <v>2018</v>
      </c>
      <c r="AF281" s="286">
        <f t="shared" ref="AF281:AF321" si="608">$K281+(($F281-1)/12)</f>
        <v>2014.6666666666667</v>
      </c>
      <c r="AG281" s="286">
        <f t="shared" ref="AG281:AG321" si="609">$P$4+($P$3/12)</f>
        <v>2017</v>
      </c>
      <c r="AH281" s="286">
        <f t="shared" ref="AH281:AH321" si="610">$L281+(($M281-1)/12)</f>
        <v>-8.3333333333333329E-2</v>
      </c>
      <c r="AJ281" s="11">
        <f t="shared" ref="AJ281:AJ322" si="611">+IF((AF281-AG281)&gt;3,((N281-P281)/(AF281-AG281)),(N281-P281)/3)</f>
        <v>0</v>
      </c>
      <c r="AL281" s="11">
        <f t="shared" ref="AL281:AL322" si="612">+AJ281+R281</f>
        <v>0</v>
      </c>
      <c r="AN281" s="11">
        <f t="shared" ref="AN281:AN322" si="613">+IF(AF281&lt;AG281,-AC281,0)</f>
        <v>0</v>
      </c>
      <c r="AP281" s="11">
        <f t="shared" ref="AP281:AP322" si="614">+IF(AF281&gt;AG281,IF(AJ281&gt;0,IF(O281&gt;0,(N281-AA281)/2,IF(AD281&gt;=AG281,(((N281*U281)*Z281)-(AB281+AJ281))/2,((((N281*U281)*Z281)-AA281)+(((N281*U281)*Z281)-(AB281+AJ281)))/2)),0),0)</f>
        <v>0</v>
      </c>
      <c r="AR281" s="11">
        <f t="shared" ref="AR281:AR322" si="615">+AC281+AN281+(IF(AP281&gt;0,(AP281-AC281),0))</f>
        <v>0</v>
      </c>
    </row>
    <row r="282" spans="1:44">
      <c r="C282" s="282">
        <v>360</v>
      </c>
      <c r="D282" s="282" t="s">
        <v>207</v>
      </c>
      <c r="E282" s="282">
        <v>2007</v>
      </c>
      <c r="F282" s="284">
        <v>10</v>
      </c>
      <c r="G282" s="307">
        <v>0</v>
      </c>
      <c r="H282" s="286"/>
      <c r="I282" s="308" t="s">
        <v>86</v>
      </c>
      <c r="J282" s="284">
        <v>7</v>
      </c>
      <c r="K282" s="309">
        <f t="shared" si="595"/>
        <v>2014</v>
      </c>
      <c r="N282" s="285">
        <v>18692.580000000002</v>
      </c>
      <c r="P282" s="286">
        <f t="shared" si="596"/>
        <v>18692.580000000002</v>
      </c>
      <c r="Q282" s="286">
        <f t="shared" si="597"/>
        <v>222.53071428571431</v>
      </c>
      <c r="R282" s="286">
        <f t="shared" si="598"/>
        <v>0</v>
      </c>
      <c r="T282" s="286">
        <f t="shared" si="599"/>
        <v>0</v>
      </c>
      <c r="U282" s="286">
        <v>1</v>
      </c>
      <c r="V282" s="286">
        <f t="shared" si="600"/>
        <v>0</v>
      </c>
      <c r="W282" s="286"/>
      <c r="X282" s="286">
        <f t="shared" si="601"/>
        <v>18692.580000000002</v>
      </c>
      <c r="Y282" s="286">
        <f t="shared" si="602"/>
        <v>18692.580000000002</v>
      </c>
      <c r="Z282" s="286">
        <v>1</v>
      </c>
      <c r="AA282" s="286">
        <f t="shared" si="603"/>
        <v>18692.580000000002</v>
      </c>
      <c r="AB282" s="286">
        <f t="shared" si="604"/>
        <v>18692.580000000002</v>
      </c>
      <c r="AC282" s="286">
        <f t="shared" si="605"/>
        <v>0</v>
      </c>
      <c r="AD282" s="286">
        <f t="shared" si="606"/>
        <v>2007.75</v>
      </c>
      <c r="AE282" s="286">
        <f t="shared" si="607"/>
        <v>2018</v>
      </c>
      <c r="AF282" s="286">
        <f t="shared" si="608"/>
        <v>2014.75</v>
      </c>
      <c r="AG282" s="286">
        <f t="shared" si="609"/>
        <v>2017</v>
      </c>
      <c r="AH282" s="286">
        <f t="shared" si="610"/>
        <v>-8.3333333333333329E-2</v>
      </c>
      <c r="AJ282" s="11">
        <f t="shared" si="611"/>
        <v>0</v>
      </c>
      <c r="AL282" s="11">
        <f t="shared" si="612"/>
        <v>0</v>
      </c>
      <c r="AN282" s="11">
        <f t="shared" si="613"/>
        <v>0</v>
      </c>
      <c r="AP282" s="11">
        <f t="shared" si="614"/>
        <v>0</v>
      </c>
      <c r="AR282" s="11">
        <f t="shared" si="615"/>
        <v>0</v>
      </c>
    </row>
    <row r="283" spans="1:44">
      <c r="C283" s="282">
        <v>528</v>
      </c>
      <c r="D283" s="282" t="s">
        <v>208</v>
      </c>
      <c r="E283" s="282">
        <v>2007</v>
      </c>
      <c r="F283" s="284">
        <v>10</v>
      </c>
      <c r="G283" s="307">
        <v>0</v>
      </c>
      <c r="H283" s="286"/>
      <c r="I283" s="308" t="s">
        <v>86</v>
      </c>
      <c r="J283" s="284">
        <v>7</v>
      </c>
      <c r="K283" s="309">
        <f t="shared" si="595"/>
        <v>2014</v>
      </c>
      <c r="N283" s="285">
        <f>(35190+3103.37+2200)/828*528</f>
        <v>25821.859130434783</v>
      </c>
      <c r="P283" s="286">
        <f t="shared" si="596"/>
        <v>25821.859130434783</v>
      </c>
      <c r="Q283" s="286">
        <f t="shared" si="597"/>
        <v>307.4030848861284</v>
      </c>
      <c r="R283" s="286">
        <f t="shared" si="598"/>
        <v>0</v>
      </c>
      <c r="T283" s="286">
        <f t="shared" si="599"/>
        <v>0</v>
      </c>
      <c r="U283" s="286">
        <v>1</v>
      </c>
      <c r="V283" s="286">
        <f t="shared" si="600"/>
        <v>0</v>
      </c>
      <c r="W283" s="286"/>
      <c r="X283" s="286">
        <f t="shared" si="601"/>
        <v>25821.859130434783</v>
      </c>
      <c r="Y283" s="286">
        <f t="shared" si="602"/>
        <v>25821.859130434783</v>
      </c>
      <c r="Z283" s="286">
        <v>1</v>
      </c>
      <c r="AA283" s="286">
        <f t="shared" si="603"/>
        <v>25821.859130434783</v>
      </c>
      <c r="AB283" s="286">
        <f t="shared" si="604"/>
        <v>25821.859130434783</v>
      </c>
      <c r="AC283" s="286">
        <f t="shared" si="605"/>
        <v>0</v>
      </c>
      <c r="AD283" s="286">
        <f t="shared" si="606"/>
        <v>2007.75</v>
      </c>
      <c r="AE283" s="286">
        <f t="shared" si="607"/>
        <v>2018</v>
      </c>
      <c r="AF283" s="286">
        <f t="shared" si="608"/>
        <v>2014.75</v>
      </c>
      <c r="AG283" s="286">
        <f t="shared" si="609"/>
        <v>2017</v>
      </c>
      <c r="AH283" s="286">
        <f t="shared" si="610"/>
        <v>-8.3333333333333329E-2</v>
      </c>
      <c r="AJ283" s="11">
        <f t="shared" si="611"/>
        <v>0</v>
      </c>
      <c r="AL283" s="11">
        <f t="shared" si="612"/>
        <v>0</v>
      </c>
      <c r="AN283" s="11">
        <f t="shared" si="613"/>
        <v>0</v>
      </c>
      <c r="AP283" s="11">
        <f t="shared" si="614"/>
        <v>0</v>
      </c>
      <c r="AR283" s="11">
        <f t="shared" si="615"/>
        <v>0</v>
      </c>
    </row>
    <row r="284" spans="1:44">
      <c r="C284" s="282">
        <v>100</v>
      </c>
      <c r="D284" s="282" t="s">
        <v>209</v>
      </c>
      <c r="E284" s="282">
        <v>2007</v>
      </c>
      <c r="F284" s="284">
        <v>10</v>
      </c>
      <c r="G284" s="307">
        <v>0</v>
      </c>
      <c r="H284" s="286"/>
      <c r="I284" s="308" t="s">
        <v>86</v>
      </c>
      <c r="J284" s="284">
        <v>7</v>
      </c>
      <c r="K284" s="309">
        <f t="shared" si="595"/>
        <v>2014</v>
      </c>
      <c r="N284" s="285">
        <f>4950+410.85</f>
        <v>5360.85</v>
      </c>
      <c r="P284" s="286">
        <f t="shared" si="596"/>
        <v>5360.85</v>
      </c>
      <c r="Q284" s="286">
        <f t="shared" si="597"/>
        <v>63.81964285714286</v>
      </c>
      <c r="R284" s="286">
        <f t="shared" si="598"/>
        <v>0</v>
      </c>
      <c r="T284" s="286">
        <f t="shared" si="599"/>
        <v>0</v>
      </c>
      <c r="U284" s="286">
        <v>1</v>
      </c>
      <c r="V284" s="286">
        <f t="shared" si="600"/>
        <v>0</v>
      </c>
      <c r="W284" s="286"/>
      <c r="X284" s="286">
        <f t="shared" si="601"/>
        <v>5360.85</v>
      </c>
      <c r="Y284" s="286">
        <f t="shared" si="602"/>
        <v>5360.85</v>
      </c>
      <c r="Z284" s="286">
        <v>1</v>
      </c>
      <c r="AA284" s="286">
        <f t="shared" si="603"/>
        <v>5360.85</v>
      </c>
      <c r="AB284" s="286">
        <f t="shared" si="604"/>
        <v>5360.85</v>
      </c>
      <c r="AC284" s="286">
        <f t="shared" si="605"/>
        <v>0</v>
      </c>
      <c r="AD284" s="286">
        <f t="shared" si="606"/>
        <v>2007.75</v>
      </c>
      <c r="AE284" s="286">
        <f t="shared" si="607"/>
        <v>2018</v>
      </c>
      <c r="AF284" s="286">
        <f t="shared" si="608"/>
        <v>2014.75</v>
      </c>
      <c r="AG284" s="286">
        <f t="shared" si="609"/>
        <v>2017</v>
      </c>
      <c r="AH284" s="286">
        <f t="shared" si="610"/>
        <v>-8.3333333333333329E-2</v>
      </c>
      <c r="AJ284" s="11">
        <f t="shared" si="611"/>
        <v>0</v>
      </c>
      <c r="AL284" s="11">
        <f t="shared" si="612"/>
        <v>0</v>
      </c>
      <c r="AN284" s="11">
        <f t="shared" si="613"/>
        <v>0</v>
      </c>
      <c r="AP284" s="11">
        <f t="shared" si="614"/>
        <v>0</v>
      </c>
      <c r="AR284" s="11">
        <f t="shared" si="615"/>
        <v>0</v>
      </c>
    </row>
    <row r="285" spans="1:44">
      <c r="C285" s="282">
        <v>100</v>
      </c>
      <c r="D285" s="282" t="s">
        <v>209</v>
      </c>
      <c r="E285" s="282">
        <v>2008</v>
      </c>
      <c r="F285" s="284">
        <v>6</v>
      </c>
      <c r="G285" s="307">
        <v>0</v>
      </c>
      <c r="H285" s="286"/>
      <c r="I285" s="308" t="s">
        <v>86</v>
      </c>
      <c r="J285" s="284">
        <v>7</v>
      </c>
      <c r="K285" s="309">
        <f t="shared" si="595"/>
        <v>2015</v>
      </c>
      <c r="N285" s="285">
        <v>6720.8</v>
      </c>
      <c r="P285" s="286">
        <f t="shared" si="596"/>
        <v>6720.8</v>
      </c>
      <c r="Q285" s="286">
        <f t="shared" si="597"/>
        <v>80.009523809523813</v>
      </c>
      <c r="R285" s="286">
        <f t="shared" si="598"/>
        <v>0</v>
      </c>
      <c r="T285" s="286">
        <f t="shared" si="599"/>
        <v>0</v>
      </c>
      <c r="U285" s="286">
        <v>1</v>
      </c>
      <c r="V285" s="286">
        <f t="shared" si="600"/>
        <v>0</v>
      </c>
      <c r="W285" s="286"/>
      <c r="X285" s="286">
        <f t="shared" si="601"/>
        <v>6720.8</v>
      </c>
      <c r="Y285" s="286">
        <f t="shared" si="602"/>
        <v>6720.8</v>
      </c>
      <c r="Z285" s="286">
        <v>1</v>
      </c>
      <c r="AA285" s="286">
        <f t="shared" si="603"/>
        <v>6720.8</v>
      </c>
      <c r="AB285" s="286">
        <f t="shared" si="604"/>
        <v>6720.8</v>
      </c>
      <c r="AC285" s="286">
        <f t="shared" si="605"/>
        <v>0</v>
      </c>
      <c r="AD285" s="286">
        <f t="shared" si="606"/>
        <v>2008.4166666666667</v>
      </c>
      <c r="AE285" s="286">
        <f t="shared" si="607"/>
        <v>2018</v>
      </c>
      <c r="AF285" s="286">
        <f t="shared" si="608"/>
        <v>2015.4166666666667</v>
      </c>
      <c r="AG285" s="286">
        <f t="shared" si="609"/>
        <v>2017</v>
      </c>
      <c r="AH285" s="286">
        <f t="shared" si="610"/>
        <v>-8.3333333333333329E-2</v>
      </c>
      <c r="AJ285" s="11">
        <f t="shared" si="611"/>
        <v>0</v>
      </c>
      <c r="AL285" s="11">
        <f t="shared" si="612"/>
        <v>0</v>
      </c>
      <c r="AN285" s="11">
        <f t="shared" si="613"/>
        <v>0</v>
      </c>
      <c r="AP285" s="11">
        <f t="shared" si="614"/>
        <v>0</v>
      </c>
      <c r="AR285" s="11">
        <f t="shared" si="615"/>
        <v>0</v>
      </c>
    </row>
    <row r="286" spans="1:44">
      <c r="C286" s="282">
        <v>100</v>
      </c>
      <c r="D286" s="282" t="s">
        <v>207</v>
      </c>
      <c r="E286" s="282">
        <v>2008</v>
      </c>
      <c r="F286" s="284">
        <v>6</v>
      </c>
      <c r="G286" s="307">
        <v>0</v>
      </c>
      <c r="H286" s="286"/>
      <c r="I286" s="308" t="s">
        <v>86</v>
      </c>
      <c r="J286" s="284">
        <v>7</v>
      </c>
      <c r="K286" s="309">
        <f t="shared" si="595"/>
        <v>2015</v>
      </c>
      <c r="N286" s="285">
        <v>6102.92</v>
      </c>
      <c r="P286" s="286">
        <f t="shared" si="596"/>
        <v>6102.92</v>
      </c>
      <c r="Q286" s="286">
        <f t="shared" si="597"/>
        <v>72.653809523809528</v>
      </c>
      <c r="R286" s="286">
        <f t="shared" si="598"/>
        <v>0</v>
      </c>
      <c r="T286" s="286">
        <f t="shared" si="599"/>
        <v>0</v>
      </c>
      <c r="U286" s="286">
        <v>1</v>
      </c>
      <c r="V286" s="286">
        <f t="shared" si="600"/>
        <v>0</v>
      </c>
      <c r="W286" s="286"/>
      <c r="X286" s="286">
        <f t="shared" si="601"/>
        <v>6102.92</v>
      </c>
      <c r="Y286" s="286">
        <f t="shared" si="602"/>
        <v>6102.92</v>
      </c>
      <c r="Z286" s="286">
        <v>1</v>
      </c>
      <c r="AA286" s="286">
        <f t="shared" si="603"/>
        <v>6102.92</v>
      </c>
      <c r="AB286" s="286">
        <f t="shared" si="604"/>
        <v>6102.92</v>
      </c>
      <c r="AC286" s="286">
        <f t="shared" si="605"/>
        <v>0</v>
      </c>
      <c r="AD286" s="286">
        <f t="shared" si="606"/>
        <v>2008.4166666666667</v>
      </c>
      <c r="AE286" s="286">
        <f t="shared" si="607"/>
        <v>2018</v>
      </c>
      <c r="AF286" s="286">
        <f t="shared" si="608"/>
        <v>2015.4166666666667</v>
      </c>
      <c r="AG286" s="286">
        <f t="shared" si="609"/>
        <v>2017</v>
      </c>
      <c r="AH286" s="286">
        <f t="shared" si="610"/>
        <v>-8.3333333333333329E-2</v>
      </c>
      <c r="AJ286" s="11">
        <f t="shared" si="611"/>
        <v>0</v>
      </c>
      <c r="AL286" s="11">
        <f t="shared" si="612"/>
        <v>0</v>
      </c>
      <c r="AN286" s="11">
        <f t="shared" si="613"/>
        <v>0</v>
      </c>
      <c r="AP286" s="11">
        <f t="shared" si="614"/>
        <v>0</v>
      </c>
      <c r="AR286" s="11">
        <f t="shared" si="615"/>
        <v>0</v>
      </c>
    </row>
    <row r="287" spans="1:44">
      <c r="C287" s="282">
        <v>100</v>
      </c>
      <c r="D287" s="282" t="s">
        <v>206</v>
      </c>
      <c r="E287" s="282">
        <v>2008</v>
      </c>
      <c r="F287" s="284">
        <v>7</v>
      </c>
      <c r="G287" s="307">
        <v>0</v>
      </c>
      <c r="H287" s="286"/>
      <c r="I287" s="308" t="s">
        <v>86</v>
      </c>
      <c r="J287" s="284">
        <v>7</v>
      </c>
      <c r="K287" s="309">
        <f t="shared" si="595"/>
        <v>2015</v>
      </c>
      <c r="N287" s="285">
        <f>3350+732.5+334.77</f>
        <v>4417.2700000000004</v>
      </c>
      <c r="P287" s="286">
        <f t="shared" si="596"/>
        <v>4417.2700000000004</v>
      </c>
      <c r="Q287" s="286">
        <f t="shared" si="597"/>
        <v>52.586547619047622</v>
      </c>
      <c r="R287" s="286">
        <f t="shared" si="598"/>
        <v>0</v>
      </c>
      <c r="T287" s="286">
        <f t="shared" si="599"/>
        <v>0</v>
      </c>
      <c r="U287" s="286">
        <v>1</v>
      </c>
      <c r="V287" s="286">
        <f t="shared" si="600"/>
        <v>0</v>
      </c>
      <c r="W287" s="286"/>
      <c r="X287" s="286">
        <f t="shared" si="601"/>
        <v>4417.2700000000004</v>
      </c>
      <c r="Y287" s="286">
        <f t="shared" si="602"/>
        <v>4417.2700000000004</v>
      </c>
      <c r="Z287" s="286">
        <v>1</v>
      </c>
      <c r="AA287" s="286">
        <f t="shared" si="603"/>
        <v>4417.2700000000004</v>
      </c>
      <c r="AB287" s="286">
        <f t="shared" si="604"/>
        <v>4417.2700000000004</v>
      </c>
      <c r="AC287" s="286">
        <f t="shared" si="605"/>
        <v>0</v>
      </c>
      <c r="AD287" s="286">
        <f t="shared" si="606"/>
        <v>2008.5</v>
      </c>
      <c r="AE287" s="286">
        <f t="shared" si="607"/>
        <v>2018</v>
      </c>
      <c r="AF287" s="286">
        <f t="shared" si="608"/>
        <v>2015.5</v>
      </c>
      <c r="AG287" s="286">
        <f t="shared" si="609"/>
        <v>2017</v>
      </c>
      <c r="AH287" s="286">
        <f t="shared" si="610"/>
        <v>-8.3333333333333329E-2</v>
      </c>
      <c r="AJ287" s="11">
        <f t="shared" si="611"/>
        <v>0</v>
      </c>
      <c r="AL287" s="11">
        <f t="shared" si="612"/>
        <v>0</v>
      </c>
      <c r="AN287" s="11">
        <f t="shared" si="613"/>
        <v>0</v>
      </c>
      <c r="AP287" s="11">
        <f t="shared" si="614"/>
        <v>0</v>
      </c>
      <c r="AR287" s="11">
        <f t="shared" si="615"/>
        <v>0</v>
      </c>
    </row>
    <row r="288" spans="1:44">
      <c r="C288" s="282">
        <v>100</v>
      </c>
      <c r="D288" s="282" t="s">
        <v>206</v>
      </c>
      <c r="E288" s="282">
        <v>2008</v>
      </c>
      <c r="F288" s="284">
        <v>7</v>
      </c>
      <c r="G288" s="307">
        <v>0</v>
      </c>
      <c r="H288" s="286"/>
      <c r="I288" s="308" t="s">
        <v>86</v>
      </c>
      <c r="J288" s="284">
        <v>7</v>
      </c>
      <c r="K288" s="309">
        <f t="shared" si="595"/>
        <v>2015</v>
      </c>
      <c r="N288" s="285">
        <v>4363.8999999999996</v>
      </c>
      <c r="P288" s="286">
        <f t="shared" si="596"/>
        <v>4363.8999999999996</v>
      </c>
      <c r="Q288" s="286">
        <f t="shared" si="597"/>
        <v>51.951190476190476</v>
      </c>
      <c r="R288" s="286">
        <f t="shared" si="598"/>
        <v>0</v>
      </c>
      <c r="T288" s="286">
        <f t="shared" si="599"/>
        <v>0</v>
      </c>
      <c r="U288" s="286">
        <v>1</v>
      </c>
      <c r="V288" s="286">
        <f t="shared" si="600"/>
        <v>0</v>
      </c>
      <c r="W288" s="286"/>
      <c r="X288" s="286">
        <f t="shared" si="601"/>
        <v>4363.8999999999996</v>
      </c>
      <c r="Y288" s="286">
        <f t="shared" si="602"/>
        <v>4363.8999999999996</v>
      </c>
      <c r="Z288" s="286">
        <v>1</v>
      </c>
      <c r="AA288" s="286">
        <f t="shared" si="603"/>
        <v>4363.8999999999996</v>
      </c>
      <c r="AB288" s="286">
        <f t="shared" si="604"/>
        <v>4363.8999999999996</v>
      </c>
      <c r="AC288" s="286">
        <f t="shared" si="605"/>
        <v>0</v>
      </c>
      <c r="AD288" s="286">
        <f t="shared" si="606"/>
        <v>2008.5</v>
      </c>
      <c r="AE288" s="286">
        <f t="shared" si="607"/>
        <v>2018</v>
      </c>
      <c r="AF288" s="286">
        <f t="shared" si="608"/>
        <v>2015.5</v>
      </c>
      <c r="AG288" s="286">
        <f t="shared" si="609"/>
        <v>2017</v>
      </c>
      <c r="AH288" s="286">
        <f t="shared" si="610"/>
        <v>-8.3333333333333329E-2</v>
      </c>
      <c r="AJ288" s="11">
        <f t="shared" si="611"/>
        <v>0</v>
      </c>
      <c r="AL288" s="11">
        <f t="shared" si="612"/>
        <v>0</v>
      </c>
      <c r="AN288" s="11">
        <f t="shared" si="613"/>
        <v>0</v>
      </c>
      <c r="AP288" s="11">
        <f t="shared" si="614"/>
        <v>0</v>
      </c>
      <c r="AR288" s="11">
        <f t="shared" si="615"/>
        <v>0</v>
      </c>
    </row>
    <row r="289" spans="1:44">
      <c r="C289" s="282">
        <v>100</v>
      </c>
      <c r="D289" s="282" t="s">
        <v>207</v>
      </c>
      <c r="E289" s="282">
        <v>2008</v>
      </c>
      <c r="F289" s="284">
        <v>7</v>
      </c>
      <c r="G289" s="307">
        <v>0</v>
      </c>
      <c r="H289" s="286"/>
      <c r="I289" s="308" t="s">
        <v>86</v>
      </c>
      <c r="J289" s="284">
        <v>7</v>
      </c>
      <c r="K289" s="309">
        <f t="shared" si="595"/>
        <v>2015</v>
      </c>
      <c r="N289" s="285">
        <v>9680.1200000000008</v>
      </c>
      <c r="P289" s="286">
        <f t="shared" si="596"/>
        <v>9680.1200000000008</v>
      </c>
      <c r="Q289" s="286">
        <f t="shared" si="597"/>
        <v>115.23952380952382</v>
      </c>
      <c r="R289" s="286">
        <f t="shared" si="598"/>
        <v>0</v>
      </c>
      <c r="T289" s="286">
        <f t="shared" si="599"/>
        <v>0</v>
      </c>
      <c r="U289" s="286">
        <v>1</v>
      </c>
      <c r="V289" s="286">
        <f t="shared" si="600"/>
        <v>0</v>
      </c>
      <c r="W289" s="286"/>
      <c r="X289" s="286">
        <f t="shared" si="601"/>
        <v>9680.1200000000008</v>
      </c>
      <c r="Y289" s="286">
        <f t="shared" si="602"/>
        <v>9680.1200000000008</v>
      </c>
      <c r="Z289" s="286">
        <v>1</v>
      </c>
      <c r="AA289" s="286">
        <f t="shared" si="603"/>
        <v>9680.1200000000008</v>
      </c>
      <c r="AB289" s="286">
        <f t="shared" si="604"/>
        <v>9680.1200000000008</v>
      </c>
      <c r="AC289" s="286">
        <f t="shared" si="605"/>
        <v>0</v>
      </c>
      <c r="AD289" s="286">
        <f t="shared" si="606"/>
        <v>2008.5</v>
      </c>
      <c r="AE289" s="286">
        <f t="shared" si="607"/>
        <v>2018</v>
      </c>
      <c r="AF289" s="286">
        <f t="shared" si="608"/>
        <v>2015.5</v>
      </c>
      <c r="AG289" s="286">
        <f t="shared" si="609"/>
        <v>2017</v>
      </c>
      <c r="AH289" s="286">
        <f t="shared" si="610"/>
        <v>-8.3333333333333329E-2</v>
      </c>
      <c r="AJ289" s="11">
        <f t="shared" si="611"/>
        <v>0</v>
      </c>
      <c r="AL289" s="11">
        <f t="shared" si="612"/>
        <v>0</v>
      </c>
      <c r="AN289" s="11">
        <f t="shared" si="613"/>
        <v>0</v>
      </c>
      <c r="AP289" s="11">
        <f t="shared" si="614"/>
        <v>0</v>
      </c>
      <c r="AR289" s="11">
        <f t="shared" si="615"/>
        <v>0</v>
      </c>
    </row>
    <row r="290" spans="1:44">
      <c r="C290" s="282">
        <v>100</v>
      </c>
      <c r="D290" s="282" t="s">
        <v>208</v>
      </c>
      <c r="E290" s="282">
        <v>2008</v>
      </c>
      <c r="F290" s="284">
        <v>8</v>
      </c>
      <c r="G290" s="307">
        <v>0</v>
      </c>
      <c r="H290" s="286"/>
      <c r="I290" s="308" t="s">
        <v>86</v>
      </c>
      <c r="J290" s="284">
        <v>7</v>
      </c>
      <c r="K290" s="309">
        <f t="shared" si="595"/>
        <v>2015</v>
      </c>
      <c r="N290" s="285">
        <f>4465+1150+471.66+5</f>
        <v>6091.66</v>
      </c>
      <c r="P290" s="286">
        <f t="shared" si="596"/>
        <v>6091.66</v>
      </c>
      <c r="Q290" s="286">
        <f t="shared" si="597"/>
        <v>72.519761904761907</v>
      </c>
      <c r="R290" s="286">
        <f t="shared" si="598"/>
        <v>0</v>
      </c>
      <c r="T290" s="286">
        <f t="shared" si="599"/>
        <v>0</v>
      </c>
      <c r="U290" s="286">
        <v>1</v>
      </c>
      <c r="V290" s="286">
        <f t="shared" si="600"/>
        <v>0</v>
      </c>
      <c r="W290" s="286"/>
      <c r="X290" s="286">
        <f t="shared" si="601"/>
        <v>6091.66</v>
      </c>
      <c r="Y290" s="286">
        <f t="shared" si="602"/>
        <v>6091.66</v>
      </c>
      <c r="Z290" s="286">
        <v>1</v>
      </c>
      <c r="AA290" s="286">
        <f t="shared" si="603"/>
        <v>6091.66</v>
      </c>
      <c r="AB290" s="286">
        <f t="shared" si="604"/>
        <v>6091.66</v>
      </c>
      <c r="AC290" s="286">
        <f t="shared" si="605"/>
        <v>0</v>
      </c>
      <c r="AD290" s="286">
        <f t="shared" si="606"/>
        <v>2008.5833333333333</v>
      </c>
      <c r="AE290" s="286">
        <f t="shared" si="607"/>
        <v>2018</v>
      </c>
      <c r="AF290" s="286">
        <f t="shared" si="608"/>
        <v>2015.5833333333333</v>
      </c>
      <c r="AG290" s="286">
        <f t="shared" si="609"/>
        <v>2017</v>
      </c>
      <c r="AH290" s="286">
        <f t="shared" si="610"/>
        <v>-8.3333333333333329E-2</v>
      </c>
      <c r="AJ290" s="11">
        <f t="shared" si="611"/>
        <v>0</v>
      </c>
      <c r="AL290" s="11">
        <f t="shared" si="612"/>
        <v>0</v>
      </c>
      <c r="AN290" s="11">
        <f t="shared" si="613"/>
        <v>0</v>
      </c>
      <c r="AP290" s="11">
        <f t="shared" si="614"/>
        <v>0</v>
      </c>
      <c r="AR290" s="11">
        <f t="shared" si="615"/>
        <v>0</v>
      </c>
    </row>
    <row r="291" spans="1:44">
      <c r="C291" s="282">
        <v>100</v>
      </c>
      <c r="D291" s="282" t="s">
        <v>207</v>
      </c>
      <c r="E291" s="282">
        <v>2010</v>
      </c>
      <c r="F291" s="284">
        <v>8</v>
      </c>
      <c r="G291" s="307">
        <v>0</v>
      </c>
      <c r="H291" s="286"/>
      <c r="I291" s="308" t="s">
        <v>86</v>
      </c>
      <c r="J291" s="284">
        <v>7</v>
      </c>
      <c r="K291" s="309">
        <f t="shared" si="595"/>
        <v>2017</v>
      </c>
      <c r="N291" s="285">
        <v>5138.5</v>
      </c>
      <c r="P291" s="286">
        <f t="shared" si="596"/>
        <v>5138.5</v>
      </c>
      <c r="Q291" s="286">
        <f t="shared" si="597"/>
        <v>61.172619047619044</v>
      </c>
      <c r="R291" s="286">
        <f t="shared" si="598"/>
        <v>428.20833333327766</v>
      </c>
      <c r="T291" s="286">
        <f t="shared" si="599"/>
        <v>428.20833333327766</v>
      </c>
      <c r="U291" s="286">
        <v>1</v>
      </c>
      <c r="V291" s="286">
        <f t="shared" si="600"/>
        <v>428.20833333327766</v>
      </c>
      <c r="W291" s="286"/>
      <c r="X291" s="286">
        <f t="shared" si="601"/>
        <v>4710.2916666667224</v>
      </c>
      <c r="Y291" s="286">
        <f t="shared" si="602"/>
        <v>4710.2916666667224</v>
      </c>
      <c r="Z291" s="286">
        <v>1</v>
      </c>
      <c r="AA291" s="286">
        <f t="shared" si="603"/>
        <v>4710.2916666667224</v>
      </c>
      <c r="AB291" s="286">
        <f t="shared" si="604"/>
        <v>5138.5</v>
      </c>
      <c r="AC291" s="286">
        <f t="shared" si="605"/>
        <v>214.10416666663878</v>
      </c>
      <c r="AD291" s="286">
        <f t="shared" si="606"/>
        <v>2010.5833333333333</v>
      </c>
      <c r="AE291" s="286">
        <f t="shared" si="607"/>
        <v>2018</v>
      </c>
      <c r="AF291" s="286">
        <f t="shared" si="608"/>
        <v>2017.5833333333333</v>
      </c>
      <c r="AG291" s="286">
        <f t="shared" si="609"/>
        <v>2017</v>
      </c>
      <c r="AH291" s="286">
        <f t="shared" si="610"/>
        <v>-8.3333333333333329E-2</v>
      </c>
      <c r="AJ291" s="11">
        <f t="shared" si="611"/>
        <v>0</v>
      </c>
      <c r="AL291" s="11">
        <f t="shared" si="612"/>
        <v>428.20833333327766</v>
      </c>
      <c r="AN291" s="11">
        <f t="shared" si="613"/>
        <v>0</v>
      </c>
      <c r="AP291" s="11">
        <f t="shared" si="614"/>
        <v>0</v>
      </c>
      <c r="AR291" s="11">
        <f t="shared" si="615"/>
        <v>214.10416666663878</v>
      </c>
    </row>
    <row r="292" spans="1:44">
      <c r="C292" s="282">
        <v>100</v>
      </c>
      <c r="D292" s="282" t="s">
        <v>210</v>
      </c>
      <c r="E292" s="282">
        <v>2012</v>
      </c>
      <c r="F292" s="284">
        <v>1</v>
      </c>
      <c r="G292" s="307">
        <v>0</v>
      </c>
      <c r="H292" s="286"/>
      <c r="I292" s="308" t="s">
        <v>86</v>
      </c>
      <c r="J292" s="284">
        <v>7</v>
      </c>
      <c r="K292" s="309">
        <f t="shared" si="595"/>
        <v>2019</v>
      </c>
      <c r="N292" s="285">
        <f>1805+265.44</f>
        <v>2070.44</v>
      </c>
      <c r="P292" s="286">
        <f t="shared" si="596"/>
        <v>2070.44</v>
      </c>
      <c r="Q292" s="286">
        <f t="shared" si="597"/>
        <v>24.648095238095237</v>
      </c>
      <c r="R292" s="286">
        <f t="shared" si="598"/>
        <v>295.77714285714285</v>
      </c>
      <c r="T292" s="286">
        <f t="shared" si="599"/>
        <v>295.77714285714285</v>
      </c>
      <c r="U292" s="286">
        <v>1</v>
      </c>
      <c r="V292" s="286">
        <f t="shared" si="600"/>
        <v>295.77714285714285</v>
      </c>
      <c r="W292" s="286"/>
      <c r="X292" s="286">
        <f t="shared" si="601"/>
        <v>1478.8857142857141</v>
      </c>
      <c r="Y292" s="286">
        <f t="shared" si="602"/>
        <v>1478.8857142857141</v>
      </c>
      <c r="Z292" s="286">
        <v>1</v>
      </c>
      <c r="AA292" s="286">
        <f t="shared" si="603"/>
        <v>1478.8857142857141</v>
      </c>
      <c r="AB292" s="286">
        <f t="shared" si="604"/>
        <v>1774.6628571428569</v>
      </c>
      <c r="AC292" s="286">
        <f t="shared" si="605"/>
        <v>443.66571428571456</v>
      </c>
      <c r="AD292" s="286">
        <f t="shared" si="606"/>
        <v>2012</v>
      </c>
      <c r="AE292" s="286">
        <f t="shared" si="607"/>
        <v>2018</v>
      </c>
      <c r="AF292" s="286">
        <f t="shared" si="608"/>
        <v>2019</v>
      </c>
      <c r="AG292" s="286">
        <f t="shared" si="609"/>
        <v>2017</v>
      </c>
      <c r="AH292" s="286">
        <f t="shared" si="610"/>
        <v>-8.3333333333333329E-2</v>
      </c>
      <c r="AJ292" s="11">
        <f t="shared" si="611"/>
        <v>0</v>
      </c>
      <c r="AL292" s="11">
        <f t="shared" si="612"/>
        <v>295.77714285714285</v>
      </c>
      <c r="AN292" s="11">
        <f t="shared" si="613"/>
        <v>0</v>
      </c>
      <c r="AP292" s="11">
        <f t="shared" si="614"/>
        <v>0</v>
      </c>
      <c r="AR292" s="11">
        <f t="shared" si="615"/>
        <v>443.66571428571456</v>
      </c>
    </row>
    <row r="293" spans="1:44">
      <c r="C293" s="282">
        <v>100</v>
      </c>
      <c r="D293" s="282" t="s">
        <v>211</v>
      </c>
      <c r="E293" s="282">
        <v>2012</v>
      </c>
      <c r="F293" s="284">
        <v>1</v>
      </c>
      <c r="G293" s="307">
        <v>0</v>
      </c>
      <c r="H293" s="286"/>
      <c r="I293" s="308" t="s">
        <v>86</v>
      </c>
      <c r="J293" s="284">
        <v>7</v>
      </c>
      <c r="K293" s="309">
        <f t="shared" si="595"/>
        <v>2019</v>
      </c>
      <c r="N293" s="285">
        <f>1805+265.44</f>
        <v>2070.44</v>
      </c>
      <c r="P293" s="286">
        <f t="shared" si="596"/>
        <v>2070.44</v>
      </c>
      <c r="Q293" s="286">
        <f t="shared" si="597"/>
        <v>24.648095238095237</v>
      </c>
      <c r="R293" s="286">
        <f t="shared" si="598"/>
        <v>295.77714285714285</v>
      </c>
      <c r="T293" s="286">
        <f t="shared" si="599"/>
        <v>295.77714285714285</v>
      </c>
      <c r="U293" s="286">
        <v>1</v>
      </c>
      <c r="V293" s="286">
        <f t="shared" si="600"/>
        <v>295.77714285714285</v>
      </c>
      <c r="W293" s="286"/>
      <c r="X293" s="286">
        <f t="shared" si="601"/>
        <v>1478.8857142857141</v>
      </c>
      <c r="Y293" s="286">
        <f t="shared" si="602"/>
        <v>1478.8857142857141</v>
      </c>
      <c r="Z293" s="286">
        <v>1</v>
      </c>
      <c r="AA293" s="286">
        <f t="shared" si="603"/>
        <v>1478.8857142857141</v>
      </c>
      <c r="AB293" s="286">
        <f t="shared" si="604"/>
        <v>1774.6628571428569</v>
      </c>
      <c r="AC293" s="286">
        <f t="shared" si="605"/>
        <v>443.66571428571456</v>
      </c>
      <c r="AD293" s="286">
        <f t="shared" si="606"/>
        <v>2012</v>
      </c>
      <c r="AE293" s="286">
        <f t="shared" si="607"/>
        <v>2018</v>
      </c>
      <c r="AF293" s="286">
        <f t="shared" si="608"/>
        <v>2019</v>
      </c>
      <c r="AG293" s="286">
        <f t="shared" si="609"/>
        <v>2017</v>
      </c>
      <c r="AH293" s="286">
        <f t="shared" si="610"/>
        <v>-8.3333333333333329E-2</v>
      </c>
      <c r="AJ293" s="11">
        <f t="shared" si="611"/>
        <v>0</v>
      </c>
      <c r="AL293" s="11">
        <f t="shared" si="612"/>
        <v>295.77714285714285</v>
      </c>
      <c r="AN293" s="11">
        <f t="shared" si="613"/>
        <v>0</v>
      </c>
      <c r="AP293" s="11">
        <f t="shared" si="614"/>
        <v>0</v>
      </c>
      <c r="AR293" s="11">
        <f t="shared" si="615"/>
        <v>443.66571428571456</v>
      </c>
    </row>
    <row r="294" spans="1:44">
      <c r="A294" s="282">
        <v>93745</v>
      </c>
      <c r="C294" s="282">
        <v>100</v>
      </c>
      <c r="D294" s="282" t="s">
        <v>212</v>
      </c>
      <c r="E294" s="282">
        <v>2012</v>
      </c>
      <c r="F294" s="284">
        <v>5</v>
      </c>
      <c r="G294" s="307">
        <v>0</v>
      </c>
      <c r="H294" s="286"/>
      <c r="I294" s="308" t="s">
        <v>86</v>
      </c>
      <c r="J294" s="284">
        <v>7</v>
      </c>
      <c r="K294" s="309">
        <f t="shared" si="595"/>
        <v>2019</v>
      </c>
      <c r="N294" s="285">
        <v>5555.5</v>
      </c>
      <c r="P294" s="286">
        <f t="shared" si="596"/>
        <v>5555.5</v>
      </c>
      <c r="Q294" s="286">
        <f t="shared" si="597"/>
        <v>66.136904761904759</v>
      </c>
      <c r="R294" s="286">
        <f t="shared" si="598"/>
        <v>793.64285714285711</v>
      </c>
      <c r="T294" s="286">
        <f t="shared" si="599"/>
        <v>793.64285714285711</v>
      </c>
      <c r="U294" s="286">
        <v>1</v>
      </c>
      <c r="V294" s="286">
        <f t="shared" si="600"/>
        <v>793.64285714285711</v>
      </c>
      <c r="W294" s="286"/>
      <c r="X294" s="286">
        <f t="shared" si="601"/>
        <v>3703.6666666667265</v>
      </c>
      <c r="Y294" s="286">
        <f t="shared" si="602"/>
        <v>3703.6666666667265</v>
      </c>
      <c r="Z294" s="286">
        <v>1</v>
      </c>
      <c r="AA294" s="286">
        <f t="shared" si="603"/>
        <v>3703.6666666667265</v>
      </c>
      <c r="AB294" s="286">
        <f t="shared" si="604"/>
        <v>4497.3095238095839</v>
      </c>
      <c r="AC294" s="286">
        <f t="shared" si="605"/>
        <v>1455.0119047618448</v>
      </c>
      <c r="AD294" s="286">
        <f t="shared" si="606"/>
        <v>2012.3333333333333</v>
      </c>
      <c r="AE294" s="286">
        <f t="shared" si="607"/>
        <v>2018</v>
      </c>
      <c r="AF294" s="286">
        <f t="shared" si="608"/>
        <v>2019.3333333333333</v>
      </c>
      <c r="AG294" s="286">
        <f t="shared" si="609"/>
        <v>2017</v>
      </c>
      <c r="AH294" s="286">
        <f t="shared" si="610"/>
        <v>-8.3333333333333329E-2</v>
      </c>
      <c r="AJ294" s="11">
        <f t="shared" si="611"/>
        <v>0</v>
      </c>
      <c r="AL294" s="11">
        <f t="shared" si="612"/>
        <v>793.64285714285711</v>
      </c>
      <c r="AN294" s="11">
        <f t="shared" si="613"/>
        <v>0</v>
      </c>
      <c r="AP294" s="11">
        <f t="shared" si="614"/>
        <v>0</v>
      </c>
      <c r="AR294" s="11">
        <f t="shared" si="615"/>
        <v>1455.0119047618448</v>
      </c>
    </row>
    <row r="295" spans="1:44">
      <c r="A295" s="282">
        <v>94098</v>
      </c>
      <c r="C295" s="282">
        <v>300</v>
      </c>
      <c r="D295" s="282" t="s">
        <v>213</v>
      </c>
      <c r="E295" s="282">
        <v>2012</v>
      </c>
      <c r="F295" s="284">
        <v>5</v>
      </c>
      <c r="G295" s="307">
        <v>0</v>
      </c>
      <c r="H295" s="286"/>
      <c r="I295" s="308" t="s">
        <v>86</v>
      </c>
      <c r="J295" s="284">
        <v>7</v>
      </c>
      <c r="K295" s="309">
        <f t="shared" si="595"/>
        <v>2019</v>
      </c>
      <c r="N295" s="285">
        <v>11143.49</v>
      </c>
      <c r="P295" s="286">
        <f t="shared" si="596"/>
        <v>11143.49</v>
      </c>
      <c r="Q295" s="286">
        <f t="shared" si="597"/>
        <v>132.66059523809523</v>
      </c>
      <c r="R295" s="286">
        <f t="shared" si="598"/>
        <v>1591.9271428571428</v>
      </c>
      <c r="T295" s="286">
        <f t="shared" si="599"/>
        <v>1591.9271428571428</v>
      </c>
      <c r="U295" s="286">
        <v>1</v>
      </c>
      <c r="V295" s="286">
        <f t="shared" si="600"/>
        <v>1591.9271428571428</v>
      </c>
      <c r="W295" s="286"/>
      <c r="X295" s="286">
        <f t="shared" si="601"/>
        <v>7428.9933333334529</v>
      </c>
      <c r="Y295" s="286">
        <f t="shared" si="602"/>
        <v>7428.9933333334529</v>
      </c>
      <c r="Z295" s="286">
        <v>1</v>
      </c>
      <c r="AA295" s="286">
        <f t="shared" si="603"/>
        <v>7428.9933333334529</v>
      </c>
      <c r="AB295" s="286">
        <f t="shared" si="604"/>
        <v>9020.9204761905967</v>
      </c>
      <c r="AC295" s="286">
        <f t="shared" si="605"/>
        <v>2918.533095237975</v>
      </c>
      <c r="AD295" s="286">
        <f t="shared" si="606"/>
        <v>2012.3333333333333</v>
      </c>
      <c r="AE295" s="286">
        <f t="shared" si="607"/>
        <v>2018</v>
      </c>
      <c r="AF295" s="286">
        <f t="shared" si="608"/>
        <v>2019.3333333333333</v>
      </c>
      <c r="AG295" s="286">
        <f t="shared" si="609"/>
        <v>2017</v>
      </c>
      <c r="AH295" s="286">
        <f t="shared" si="610"/>
        <v>-8.3333333333333329E-2</v>
      </c>
      <c r="AJ295" s="11">
        <f t="shared" si="611"/>
        <v>0</v>
      </c>
      <c r="AL295" s="11">
        <f t="shared" si="612"/>
        <v>1591.9271428571428</v>
      </c>
      <c r="AN295" s="11">
        <f t="shared" si="613"/>
        <v>0</v>
      </c>
      <c r="AP295" s="11">
        <f t="shared" si="614"/>
        <v>0</v>
      </c>
      <c r="AR295" s="11">
        <f t="shared" si="615"/>
        <v>2918.533095237975</v>
      </c>
    </row>
    <row r="296" spans="1:44">
      <c r="A296" s="282">
        <v>94099</v>
      </c>
      <c r="C296" s="282">
        <v>12</v>
      </c>
      <c r="D296" s="282" t="s">
        <v>288</v>
      </c>
      <c r="E296" s="282">
        <v>2012</v>
      </c>
      <c r="F296" s="284">
        <v>5</v>
      </c>
      <c r="G296" s="307">
        <v>0</v>
      </c>
      <c r="H296" s="286"/>
      <c r="I296" s="308" t="s">
        <v>86</v>
      </c>
      <c r="J296" s="284">
        <v>7</v>
      </c>
      <c r="K296" s="309">
        <f t="shared" si="595"/>
        <v>2019</v>
      </c>
      <c r="N296" s="285">
        <v>432.98</v>
      </c>
      <c r="P296" s="286">
        <f t="shared" si="596"/>
        <v>432.98</v>
      </c>
      <c r="Q296" s="286">
        <f t="shared" si="597"/>
        <v>5.15452380952381</v>
      </c>
      <c r="R296" s="286">
        <f t="shared" si="598"/>
        <v>61.854285714285723</v>
      </c>
      <c r="T296" s="286">
        <f t="shared" si="599"/>
        <v>61.854285714285723</v>
      </c>
      <c r="U296" s="286">
        <v>1</v>
      </c>
      <c r="V296" s="286">
        <f t="shared" si="600"/>
        <v>61.854285714285723</v>
      </c>
      <c r="W296" s="286"/>
      <c r="X296" s="286">
        <f t="shared" si="601"/>
        <v>288.65333333333803</v>
      </c>
      <c r="Y296" s="286">
        <f t="shared" si="602"/>
        <v>288.65333333333803</v>
      </c>
      <c r="Z296" s="286">
        <v>1</v>
      </c>
      <c r="AA296" s="286">
        <f t="shared" si="603"/>
        <v>288.65333333333803</v>
      </c>
      <c r="AB296" s="286">
        <f t="shared" si="604"/>
        <v>350.50761904762373</v>
      </c>
      <c r="AC296" s="286">
        <f t="shared" si="605"/>
        <v>113.39952380951914</v>
      </c>
      <c r="AD296" s="286">
        <f t="shared" si="606"/>
        <v>2012.3333333333333</v>
      </c>
      <c r="AE296" s="286">
        <f t="shared" si="607"/>
        <v>2018</v>
      </c>
      <c r="AF296" s="286">
        <f t="shared" si="608"/>
        <v>2019.3333333333333</v>
      </c>
      <c r="AG296" s="286">
        <f t="shared" si="609"/>
        <v>2017</v>
      </c>
      <c r="AH296" s="286">
        <f t="shared" si="610"/>
        <v>-8.3333333333333329E-2</v>
      </c>
      <c r="AJ296" s="11">
        <f t="shared" si="611"/>
        <v>0</v>
      </c>
      <c r="AL296" s="11">
        <f t="shared" si="612"/>
        <v>61.854285714285723</v>
      </c>
      <c r="AN296" s="11">
        <f t="shared" si="613"/>
        <v>0</v>
      </c>
      <c r="AP296" s="11">
        <f t="shared" si="614"/>
        <v>0</v>
      </c>
      <c r="AR296" s="11">
        <f t="shared" si="615"/>
        <v>113.39952380951914</v>
      </c>
    </row>
    <row r="297" spans="1:44">
      <c r="A297" s="282">
        <v>105015</v>
      </c>
      <c r="C297" s="282">
        <v>100</v>
      </c>
      <c r="D297" s="282" t="s">
        <v>297</v>
      </c>
      <c r="E297" s="282">
        <v>2013</v>
      </c>
      <c r="F297" s="284">
        <v>6</v>
      </c>
      <c r="G297" s="307">
        <v>0</v>
      </c>
      <c r="H297" s="286"/>
      <c r="I297" s="308" t="s">
        <v>86</v>
      </c>
      <c r="J297" s="284">
        <v>7</v>
      </c>
      <c r="K297" s="309">
        <f t="shared" si="595"/>
        <v>2020</v>
      </c>
      <c r="N297" s="285">
        <v>7094.89</v>
      </c>
      <c r="P297" s="286">
        <f t="shared" si="596"/>
        <v>7094.89</v>
      </c>
      <c r="Q297" s="286">
        <f t="shared" si="597"/>
        <v>84.462976190476198</v>
      </c>
      <c r="R297" s="286">
        <f t="shared" ref="R297" si="616">IF(O297&gt;0,0,IF(OR(AD297&gt;AE297,AF297&lt;AG297),0,IF(AND(AF297&gt;=AG297,AF297&lt;=AE297),Q297*((AF297-AG297)*12),IF(AND(AG297&lt;=AD297,AE297&gt;=AD297),((AE297-AD297)*12)*Q297,IF(AF297&gt;AE297,12*Q297,0)))))</f>
        <v>1013.5557142857144</v>
      </c>
      <c r="T297" s="286">
        <f t="shared" ref="T297" si="617">IF(S297&gt;0,S297,R297)</f>
        <v>1013.5557142857144</v>
      </c>
      <c r="U297" s="286">
        <v>1</v>
      </c>
      <c r="V297" s="286">
        <f t="shared" ref="V297" si="618">U297*SUM(R297:S297)</f>
        <v>1013.5557142857144</v>
      </c>
      <c r="W297" s="286"/>
      <c r="X297" s="286">
        <f t="shared" ref="X297" si="619">IF(AD297&gt;AE297,0,IF(AF297&lt;AG297,P297,IF(AND(AF297&gt;=AG297,AF297&lt;=AE297),(P297-T297),IF(AND(AG297&lt;=AD297,AE297&gt;=AD297),0,IF(AF297&gt;AE297,((AG297-AD297)*12)*Q297,0)))))</f>
        <v>3631.9079761903995</v>
      </c>
      <c r="Y297" s="286">
        <f t="shared" ref="Y297" si="620">X297*U297</f>
        <v>3631.9079761903995</v>
      </c>
      <c r="Z297" s="286">
        <v>1</v>
      </c>
      <c r="AA297" s="286">
        <f t="shared" ref="AA297" si="621">Y297*Z297</f>
        <v>3631.9079761903995</v>
      </c>
      <c r="AB297" s="286">
        <f t="shared" ref="AB297" si="622">IF(O297&gt;0,0,AA297+V297*Z297)*Z297</f>
        <v>4645.4636904761137</v>
      </c>
      <c r="AC297" s="286">
        <f t="shared" ref="AC297" si="623">IF(O297&gt;0,(N297-AA297)/2,IF(AD297&gt;=AG297,(((N297*U297)*Z297)-AB297)/2,((((N297*U297)*Z297)-AA297)+(((N297*U297)*Z297)-AB297))/2))</f>
        <v>2956.2041666667437</v>
      </c>
      <c r="AD297" s="286">
        <f t="shared" si="606"/>
        <v>2013.4166666666667</v>
      </c>
      <c r="AE297" s="286">
        <f t="shared" si="607"/>
        <v>2018</v>
      </c>
      <c r="AF297" s="286">
        <f t="shared" si="608"/>
        <v>2020.4166666666667</v>
      </c>
      <c r="AG297" s="286">
        <f t="shared" si="609"/>
        <v>2017</v>
      </c>
      <c r="AH297" s="286">
        <f t="shared" si="610"/>
        <v>-8.3333333333333329E-2</v>
      </c>
      <c r="AJ297" s="11">
        <f t="shared" si="611"/>
        <v>0</v>
      </c>
      <c r="AL297" s="11">
        <f t="shared" si="612"/>
        <v>1013.5557142857144</v>
      </c>
      <c r="AN297" s="11">
        <f t="shared" si="613"/>
        <v>0</v>
      </c>
      <c r="AP297" s="11">
        <f t="shared" si="614"/>
        <v>0</v>
      </c>
      <c r="AR297" s="11">
        <f t="shared" si="615"/>
        <v>2956.2041666667437</v>
      </c>
    </row>
    <row r="298" spans="1:44">
      <c r="A298" s="282">
        <v>109631</v>
      </c>
      <c r="C298" s="282">
        <v>30</v>
      </c>
      <c r="D298" s="282" t="s">
        <v>308</v>
      </c>
      <c r="E298" s="282">
        <v>2013</v>
      </c>
      <c r="F298" s="284">
        <v>6</v>
      </c>
      <c r="G298" s="307">
        <v>0</v>
      </c>
      <c r="H298" s="286"/>
      <c r="I298" s="308" t="s">
        <v>86</v>
      </c>
      <c r="J298" s="284">
        <v>7</v>
      </c>
      <c r="K298" s="309">
        <f t="shared" ref="K298:K299" si="624">E298+J298</f>
        <v>2020</v>
      </c>
      <c r="N298" s="285">
        <v>1416.9</v>
      </c>
      <c r="P298" s="286">
        <f t="shared" si="596"/>
        <v>1416.9</v>
      </c>
      <c r="Q298" s="286">
        <f t="shared" si="597"/>
        <v>16.867857142857144</v>
      </c>
      <c r="R298" s="286">
        <f t="shared" ref="R298:R302" si="625">IF(O298&gt;0,0,IF(OR(AD298&gt;AE298,AF298&lt;AG298),0,IF(AND(AF298&gt;=AG298,AF298&lt;=AE298),Q298*((AF298-AG298)*12),IF(AND(AG298&lt;=AD298,AE298&gt;=AD298),((AE298-AD298)*12)*Q298,IF(AF298&gt;AE298,12*Q298,0)))))</f>
        <v>202.41428571428571</v>
      </c>
      <c r="T298" s="286">
        <f t="shared" ref="T298:T299" si="626">IF(S298&gt;0,S298,R298)</f>
        <v>202.41428571428571</v>
      </c>
      <c r="U298" s="286">
        <v>1</v>
      </c>
      <c r="V298" s="286">
        <f t="shared" ref="V298:V299" si="627">U298*SUM(R298:S298)</f>
        <v>202.41428571428571</v>
      </c>
      <c r="W298" s="286"/>
      <c r="X298" s="286">
        <f t="shared" ref="X298:X299" si="628">IF(AD298&gt;AE298,0,IF(AF298&lt;AG298,P298,IF(AND(AF298&gt;=AG298,AF298&lt;=AE298),(P298-T298),IF(AND(AG298&lt;=AD298,AE298&gt;=AD298),0,IF(AF298&gt;AE298,((AG298-AD298)*12)*Q298,0)))))</f>
        <v>725.31785714284183</v>
      </c>
      <c r="Y298" s="286">
        <f t="shared" ref="Y298:Y299" si="629">X298*U298</f>
        <v>725.31785714284183</v>
      </c>
      <c r="Z298" s="286">
        <v>1</v>
      </c>
      <c r="AA298" s="286">
        <f t="shared" ref="AA298:AA299" si="630">Y298*Z298</f>
        <v>725.31785714284183</v>
      </c>
      <c r="AB298" s="286">
        <f t="shared" ref="AB298:AB299" si="631">IF(O298&gt;0,0,AA298+V298*Z298)*Z298</f>
        <v>927.73214285712754</v>
      </c>
      <c r="AC298" s="286">
        <f t="shared" ref="AC298:AC299" si="632">IF(O298&gt;0,(N298-AA298)/2,IF(AD298&gt;=AG298,(((N298*U298)*Z298)-AB298)/2,((((N298*U298)*Z298)-AA298)+(((N298*U298)*Z298)-AB298))/2))</f>
        <v>590.37500000001546</v>
      </c>
      <c r="AD298" s="286">
        <f t="shared" si="606"/>
        <v>2013.4166666666667</v>
      </c>
      <c r="AE298" s="286">
        <f t="shared" si="607"/>
        <v>2018</v>
      </c>
      <c r="AF298" s="286">
        <f t="shared" si="608"/>
        <v>2020.4166666666667</v>
      </c>
      <c r="AG298" s="286">
        <f t="shared" si="609"/>
        <v>2017</v>
      </c>
      <c r="AH298" s="286">
        <f t="shared" si="610"/>
        <v>-8.3333333333333329E-2</v>
      </c>
      <c r="AJ298" s="11">
        <f t="shared" si="611"/>
        <v>0</v>
      </c>
      <c r="AL298" s="11">
        <f t="shared" si="612"/>
        <v>202.41428571428571</v>
      </c>
      <c r="AN298" s="11">
        <f t="shared" si="613"/>
        <v>0</v>
      </c>
      <c r="AP298" s="11">
        <f t="shared" si="614"/>
        <v>0</v>
      </c>
      <c r="AR298" s="11">
        <f t="shared" si="615"/>
        <v>590.37500000001546</v>
      </c>
    </row>
    <row r="299" spans="1:44">
      <c r="A299" s="282">
        <v>109629</v>
      </c>
      <c r="C299" s="282">
        <v>100</v>
      </c>
      <c r="D299" s="282" t="s">
        <v>309</v>
      </c>
      <c r="E299" s="282">
        <v>2013</v>
      </c>
      <c r="F299" s="284">
        <v>6</v>
      </c>
      <c r="G299" s="307">
        <v>0</v>
      </c>
      <c r="H299" s="286"/>
      <c r="I299" s="308" t="s">
        <v>86</v>
      </c>
      <c r="J299" s="284">
        <v>7</v>
      </c>
      <c r="K299" s="309">
        <f t="shared" si="624"/>
        <v>2020</v>
      </c>
      <c r="N299" s="285">
        <v>3273.45</v>
      </c>
      <c r="P299" s="286">
        <f t="shared" si="596"/>
        <v>3273.45</v>
      </c>
      <c r="Q299" s="286">
        <f t="shared" si="597"/>
        <v>38.969642857142851</v>
      </c>
      <c r="R299" s="286">
        <f t="shared" si="625"/>
        <v>467.63571428571424</v>
      </c>
      <c r="T299" s="286">
        <f t="shared" si="626"/>
        <v>467.63571428571424</v>
      </c>
      <c r="U299" s="286">
        <v>1</v>
      </c>
      <c r="V299" s="286">
        <f t="shared" si="627"/>
        <v>467.63571428571424</v>
      </c>
      <c r="W299" s="286"/>
      <c r="X299" s="286">
        <f t="shared" si="628"/>
        <v>1675.6946428571071</v>
      </c>
      <c r="Y299" s="286">
        <f t="shared" si="629"/>
        <v>1675.6946428571071</v>
      </c>
      <c r="Z299" s="286">
        <v>1</v>
      </c>
      <c r="AA299" s="286">
        <f t="shared" si="630"/>
        <v>1675.6946428571071</v>
      </c>
      <c r="AB299" s="286">
        <f t="shared" si="631"/>
        <v>2143.3303571428214</v>
      </c>
      <c r="AC299" s="286">
        <f t="shared" si="632"/>
        <v>1363.9375000000355</v>
      </c>
      <c r="AD299" s="286">
        <f t="shared" si="606"/>
        <v>2013.4166666666667</v>
      </c>
      <c r="AE299" s="286">
        <f t="shared" si="607"/>
        <v>2018</v>
      </c>
      <c r="AF299" s="286">
        <f t="shared" si="608"/>
        <v>2020.4166666666667</v>
      </c>
      <c r="AG299" s="286">
        <f t="shared" si="609"/>
        <v>2017</v>
      </c>
      <c r="AH299" s="286">
        <f t="shared" si="610"/>
        <v>-8.3333333333333329E-2</v>
      </c>
      <c r="AJ299" s="11">
        <f t="shared" si="611"/>
        <v>0</v>
      </c>
      <c r="AL299" s="11">
        <f t="shared" si="612"/>
        <v>467.63571428571424</v>
      </c>
      <c r="AN299" s="11">
        <f t="shared" si="613"/>
        <v>0</v>
      </c>
      <c r="AP299" s="11">
        <f t="shared" si="614"/>
        <v>0</v>
      </c>
      <c r="AR299" s="11">
        <f t="shared" si="615"/>
        <v>1363.9375000000355</v>
      </c>
    </row>
    <row r="300" spans="1:44">
      <c r="A300" s="282">
        <v>113496</v>
      </c>
      <c r="C300" s="282">
        <v>100</v>
      </c>
      <c r="D300" s="282" t="s">
        <v>207</v>
      </c>
      <c r="E300" s="282">
        <v>2014</v>
      </c>
      <c r="F300" s="284">
        <v>6</v>
      </c>
      <c r="G300" s="307">
        <v>0</v>
      </c>
      <c r="H300" s="286"/>
      <c r="I300" s="308" t="s">
        <v>86</v>
      </c>
      <c r="J300" s="284">
        <v>7</v>
      </c>
      <c r="K300" s="309">
        <f t="shared" ref="K300:K304" si="633">E300+J300</f>
        <v>2021</v>
      </c>
      <c r="N300" s="285">
        <v>6630.44</v>
      </c>
      <c r="P300" s="286">
        <f t="shared" si="596"/>
        <v>6630.44</v>
      </c>
      <c r="Q300" s="286">
        <f t="shared" si="597"/>
        <v>78.933809523809515</v>
      </c>
      <c r="R300" s="286">
        <f t="shared" si="625"/>
        <v>947.20571428571418</v>
      </c>
      <c r="T300" s="286">
        <f t="shared" ref="T300:T301" si="634">IF(S300&gt;0,S300,R300)</f>
        <v>947.20571428571418</v>
      </c>
      <c r="U300" s="286">
        <v>1</v>
      </c>
      <c r="V300" s="286">
        <f t="shared" ref="V300:V301" si="635">U300*SUM(R300:S300)</f>
        <v>947.20571428571418</v>
      </c>
      <c r="W300" s="286"/>
      <c r="X300" s="286">
        <f t="shared" ref="X300:X301" si="636">IF(AD300&gt;AE300,0,IF(AF300&lt;AG300,P300,IF(AND(AF300&gt;=AG300,AF300&lt;=AE300),(P300-T300),IF(AND(AG300&lt;=AD300,AE300&gt;=AD300),0,IF(AF300&gt;AE300,((AG300-AD300)*12)*Q300,0)))))</f>
        <v>2446.9480952380231</v>
      </c>
      <c r="Y300" s="286">
        <f t="shared" ref="Y300:Y301" si="637">X300*U300</f>
        <v>2446.9480952380231</v>
      </c>
      <c r="Z300" s="286">
        <v>1</v>
      </c>
      <c r="AA300" s="286">
        <f t="shared" ref="AA300:AA301" si="638">Y300*Z300</f>
        <v>2446.9480952380231</v>
      </c>
      <c r="AB300" s="286">
        <f t="shared" ref="AB300:AB301" si="639">IF(O300&gt;0,0,AA300+V300*Z300)*Z300</f>
        <v>3394.1538095237374</v>
      </c>
      <c r="AC300" s="286">
        <f t="shared" ref="AC300:AC301" si="640">IF(O300&gt;0,(N300-AA300)/2,IF(AD300&gt;=AG300,(((N300*U300)*Z300)-AB300)/2,((((N300*U300)*Z300)-AA300)+(((N300*U300)*Z300)-AB300))/2))</f>
        <v>3709.8890476191195</v>
      </c>
      <c r="AD300" s="286">
        <f t="shared" si="606"/>
        <v>2014.4166666666667</v>
      </c>
      <c r="AE300" s="286">
        <f t="shared" si="607"/>
        <v>2018</v>
      </c>
      <c r="AF300" s="286">
        <f t="shared" si="608"/>
        <v>2021.4166666666667</v>
      </c>
      <c r="AG300" s="286">
        <f t="shared" si="609"/>
        <v>2017</v>
      </c>
      <c r="AH300" s="286">
        <f t="shared" si="610"/>
        <v>-8.3333333333333329E-2</v>
      </c>
      <c r="AJ300" s="11">
        <f t="shared" si="611"/>
        <v>0</v>
      </c>
      <c r="AL300" s="11">
        <f t="shared" si="612"/>
        <v>947.20571428571418</v>
      </c>
      <c r="AN300" s="11">
        <f t="shared" si="613"/>
        <v>0</v>
      </c>
      <c r="AP300" s="11">
        <f t="shared" si="614"/>
        <v>0</v>
      </c>
      <c r="AR300" s="11">
        <f t="shared" si="615"/>
        <v>3709.8890476191195</v>
      </c>
    </row>
    <row r="301" spans="1:44">
      <c r="A301" s="282">
        <v>113495</v>
      </c>
      <c r="C301" s="282">
        <v>350</v>
      </c>
      <c r="D301" s="282" t="s">
        <v>206</v>
      </c>
      <c r="E301" s="282">
        <v>2014</v>
      </c>
      <c r="F301" s="284">
        <v>5</v>
      </c>
      <c r="G301" s="307">
        <v>0</v>
      </c>
      <c r="H301" s="286"/>
      <c r="I301" s="308" t="s">
        <v>86</v>
      </c>
      <c r="J301" s="284">
        <v>7</v>
      </c>
      <c r="K301" s="309">
        <f t="shared" si="633"/>
        <v>2021</v>
      </c>
      <c r="N301" s="285">
        <v>14838.46</v>
      </c>
      <c r="P301" s="286">
        <f t="shared" si="596"/>
        <v>14838.46</v>
      </c>
      <c r="Q301" s="286">
        <f t="shared" si="597"/>
        <v>176.64833333333331</v>
      </c>
      <c r="R301" s="286">
        <f t="shared" si="625"/>
        <v>2119.7799999999997</v>
      </c>
      <c r="T301" s="286">
        <f t="shared" si="634"/>
        <v>2119.7799999999997</v>
      </c>
      <c r="U301" s="286">
        <v>1</v>
      </c>
      <c r="V301" s="286">
        <f t="shared" si="635"/>
        <v>2119.7799999999997</v>
      </c>
      <c r="W301" s="286"/>
      <c r="X301" s="286">
        <f t="shared" si="636"/>
        <v>5652.746666666827</v>
      </c>
      <c r="Y301" s="286">
        <f t="shared" si="637"/>
        <v>5652.746666666827</v>
      </c>
      <c r="Z301" s="286">
        <v>1</v>
      </c>
      <c r="AA301" s="286">
        <f t="shared" si="638"/>
        <v>5652.746666666827</v>
      </c>
      <c r="AB301" s="286">
        <f t="shared" si="639"/>
        <v>7772.5266666668267</v>
      </c>
      <c r="AC301" s="286">
        <f t="shared" si="640"/>
        <v>8125.8233333331727</v>
      </c>
      <c r="AD301" s="286">
        <f t="shared" si="606"/>
        <v>2014.3333333333333</v>
      </c>
      <c r="AE301" s="286">
        <f t="shared" si="607"/>
        <v>2018</v>
      </c>
      <c r="AF301" s="286">
        <f t="shared" si="608"/>
        <v>2021.3333333333333</v>
      </c>
      <c r="AG301" s="286">
        <f t="shared" si="609"/>
        <v>2017</v>
      </c>
      <c r="AH301" s="286">
        <f t="shared" si="610"/>
        <v>-8.3333333333333329E-2</v>
      </c>
      <c r="AJ301" s="11">
        <f t="shared" si="611"/>
        <v>0</v>
      </c>
      <c r="AL301" s="11">
        <f t="shared" si="612"/>
        <v>2119.7799999999997</v>
      </c>
      <c r="AN301" s="11">
        <f t="shared" si="613"/>
        <v>0</v>
      </c>
      <c r="AP301" s="11">
        <f t="shared" si="614"/>
        <v>0</v>
      </c>
      <c r="AR301" s="11">
        <f t="shared" si="615"/>
        <v>8125.8233333331727</v>
      </c>
    </row>
    <row r="302" spans="1:44">
      <c r="A302" s="282">
        <v>121038</v>
      </c>
      <c r="C302" s="282">
        <v>300</v>
      </c>
      <c r="D302" s="282" t="s">
        <v>207</v>
      </c>
      <c r="E302" s="282">
        <v>2015</v>
      </c>
      <c r="F302" s="284">
        <v>3</v>
      </c>
      <c r="G302" s="307">
        <v>0</v>
      </c>
      <c r="H302" s="286"/>
      <c r="I302" s="308" t="s">
        <v>86</v>
      </c>
      <c r="J302" s="284">
        <v>7</v>
      </c>
      <c r="K302" s="309">
        <f t="shared" si="633"/>
        <v>2022</v>
      </c>
      <c r="N302" s="285">
        <v>14206.55</v>
      </c>
      <c r="P302" s="286">
        <f t="shared" si="596"/>
        <v>14206.55</v>
      </c>
      <c r="Q302" s="286">
        <f t="shared" si="597"/>
        <v>169.12559523809523</v>
      </c>
      <c r="R302" s="286">
        <f t="shared" si="625"/>
        <v>2029.5071428571428</v>
      </c>
      <c r="T302" s="286">
        <f t="shared" ref="T302" si="641">IF(S302&gt;0,S302,R302)</f>
        <v>2029.5071428571428</v>
      </c>
      <c r="U302" s="286">
        <v>1</v>
      </c>
      <c r="V302" s="286">
        <f t="shared" ref="V302" si="642">U302*SUM(R302:S302)</f>
        <v>2029.5071428571428</v>
      </c>
      <c r="W302" s="286"/>
      <c r="X302" s="286">
        <f t="shared" ref="X302" si="643">IF(AD302&gt;AE302,0,IF(AF302&lt;AG302,P302,IF(AND(AF302&gt;=AG302,AF302&lt;=AE302),(P302-T302),IF(AND(AG302&lt;=AD302,AE302&gt;=AD302),0,IF(AF302&gt;AE302,((AG302-AD302)*12)*Q302,0)))))</f>
        <v>3720.7630952379413</v>
      </c>
      <c r="Y302" s="286">
        <f t="shared" ref="Y302" si="644">X302*U302</f>
        <v>3720.7630952379413</v>
      </c>
      <c r="Z302" s="286">
        <v>1</v>
      </c>
      <c r="AA302" s="286">
        <f t="shared" ref="AA302" si="645">Y302*Z302</f>
        <v>3720.7630952379413</v>
      </c>
      <c r="AB302" s="286">
        <f t="shared" ref="AB302" si="646">IF(O302&gt;0,0,AA302+V302*Z302)*Z302</f>
        <v>5750.2702380950841</v>
      </c>
      <c r="AC302" s="286">
        <f t="shared" ref="AC302" si="647">IF(O302&gt;0,(N302-AA302)/2,IF(AD302&gt;=AG302,(((N302*U302)*Z302)-AB302)/2,((((N302*U302)*Z302)-AA302)+(((N302*U302)*Z302)-AB302))/2))</f>
        <v>9471.0333333334875</v>
      </c>
      <c r="AD302" s="286">
        <f t="shared" si="606"/>
        <v>2015.1666666666667</v>
      </c>
      <c r="AE302" s="286">
        <f t="shared" si="607"/>
        <v>2018</v>
      </c>
      <c r="AF302" s="286">
        <f t="shared" si="608"/>
        <v>2022.1666666666667</v>
      </c>
      <c r="AG302" s="286">
        <f t="shared" si="609"/>
        <v>2017</v>
      </c>
      <c r="AH302" s="286">
        <f t="shared" si="610"/>
        <v>-8.3333333333333329E-2</v>
      </c>
      <c r="AJ302" s="11">
        <f t="shared" si="611"/>
        <v>0</v>
      </c>
      <c r="AL302" s="11">
        <f t="shared" si="612"/>
        <v>2029.5071428571428</v>
      </c>
      <c r="AN302" s="11">
        <f t="shared" si="613"/>
        <v>0</v>
      </c>
      <c r="AP302" s="11">
        <f t="shared" si="614"/>
        <v>0</v>
      </c>
      <c r="AR302" s="11">
        <f t="shared" si="615"/>
        <v>9471.0333333334875</v>
      </c>
    </row>
    <row r="303" spans="1:44">
      <c r="A303" s="282" t="s">
        <v>327</v>
      </c>
      <c r="C303" s="282">
        <f>760+840</f>
        <v>1600</v>
      </c>
      <c r="D303" s="282" t="s">
        <v>206</v>
      </c>
      <c r="E303" s="282">
        <v>2015</v>
      </c>
      <c r="F303" s="284">
        <v>6</v>
      </c>
      <c r="G303" s="307">
        <v>0</v>
      </c>
      <c r="H303" s="286"/>
      <c r="I303" s="308" t="s">
        <v>86</v>
      </c>
      <c r="J303" s="284">
        <v>7</v>
      </c>
      <c r="K303" s="309">
        <f t="shared" si="633"/>
        <v>2022</v>
      </c>
      <c r="N303" s="285">
        <f>30987.6+28036.4</f>
        <v>59024</v>
      </c>
      <c r="P303" s="286">
        <f t="shared" ref="P303:P311" si="648">N303-N303*G303</f>
        <v>59024</v>
      </c>
      <c r="Q303" s="286">
        <f t="shared" ref="Q303:Q311" si="649">P303/J303/12</f>
        <v>702.66666666666663</v>
      </c>
      <c r="R303" s="286">
        <f t="shared" ref="R303:R306" si="650">IF(O303&gt;0,0,IF(OR(AD303&gt;AE303,AF303&lt;AG303),0,IF(AND(AF303&gt;=AG303,AF303&lt;=AE303),Q303*((AF303-AG303)*12),IF(AND(AG303&lt;=AD303,AE303&gt;=AD303),((AE303-AD303)*12)*Q303,IF(AF303&gt;AE303,12*Q303,0)))))</f>
        <v>8432</v>
      </c>
      <c r="T303" s="286">
        <f t="shared" ref="T303:T306" si="651">IF(S303&gt;0,S303,R303)</f>
        <v>8432</v>
      </c>
      <c r="U303" s="286">
        <v>1</v>
      </c>
      <c r="V303" s="286">
        <f t="shared" ref="V303:V306" si="652">U303*SUM(R303:S303)</f>
        <v>8432</v>
      </c>
      <c r="W303" s="286"/>
      <c r="X303" s="286">
        <f t="shared" ref="X303:X306" si="653">IF(AD303&gt;AE303,0,IF(AF303&lt;AG303,P303,IF(AND(AF303&gt;=AG303,AF303&lt;=AE303),(P303-T303),IF(AND(AG303&lt;=AD303,AE303&gt;=AD303),0,IF(AF303&gt;AE303,((AG303-AD303)*12)*Q303,0)))))</f>
        <v>13350.666666666028</v>
      </c>
      <c r="Y303" s="286">
        <f t="shared" ref="Y303:Y306" si="654">X303*U303</f>
        <v>13350.666666666028</v>
      </c>
      <c r="Z303" s="286">
        <v>1</v>
      </c>
      <c r="AA303" s="286">
        <f t="shared" ref="AA303:AA306" si="655">Y303*Z303</f>
        <v>13350.666666666028</v>
      </c>
      <c r="AB303" s="286">
        <f t="shared" ref="AB303:AB306" si="656">IF(O303&gt;0,0,AA303+V303*Z303)*Z303</f>
        <v>21782.666666666028</v>
      </c>
      <c r="AC303" s="286">
        <f t="shared" ref="AC303:AC306" si="657">IF(O303&gt;0,(N303-AA303)/2,IF(AD303&gt;=AG303,(((N303*U303)*Z303)-AB303)/2,((((N303*U303)*Z303)-AA303)+(((N303*U303)*Z303)-AB303))/2))</f>
        <v>41457.333333333969</v>
      </c>
      <c r="AD303" s="286">
        <f t="shared" si="606"/>
        <v>2015.4166666666667</v>
      </c>
      <c r="AE303" s="286">
        <f t="shared" si="607"/>
        <v>2018</v>
      </c>
      <c r="AF303" s="286">
        <f t="shared" si="608"/>
        <v>2022.4166666666667</v>
      </c>
      <c r="AG303" s="286">
        <f t="shared" si="609"/>
        <v>2017</v>
      </c>
      <c r="AH303" s="286">
        <f t="shared" si="610"/>
        <v>-8.3333333333333329E-2</v>
      </c>
      <c r="AJ303" s="11">
        <f t="shared" si="611"/>
        <v>0</v>
      </c>
      <c r="AL303" s="11">
        <f t="shared" si="612"/>
        <v>8432</v>
      </c>
      <c r="AN303" s="11">
        <f t="shared" si="613"/>
        <v>0</v>
      </c>
      <c r="AP303" s="11">
        <f t="shared" si="614"/>
        <v>0</v>
      </c>
      <c r="AR303" s="11">
        <f t="shared" si="615"/>
        <v>41457.333333333969</v>
      </c>
    </row>
    <row r="304" spans="1:44">
      <c r="A304" s="282">
        <v>123451</v>
      </c>
      <c r="C304" s="282">
        <v>40</v>
      </c>
      <c r="D304" s="282" t="s">
        <v>209</v>
      </c>
      <c r="E304" s="282">
        <v>2015</v>
      </c>
      <c r="F304" s="284">
        <v>6</v>
      </c>
      <c r="G304" s="307">
        <v>0</v>
      </c>
      <c r="H304" s="286"/>
      <c r="I304" s="308" t="s">
        <v>86</v>
      </c>
      <c r="J304" s="284">
        <v>7</v>
      </c>
      <c r="K304" s="309">
        <f t="shared" si="633"/>
        <v>2022</v>
      </c>
      <c r="N304" s="285">
        <v>2781.94</v>
      </c>
      <c r="P304" s="286">
        <f t="shared" si="648"/>
        <v>2781.94</v>
      </c>
      <c r="Q304" s="286">
        <f t="shared" si="649"/>
        <v>33.118333333333332</v>
      </c>
      <c r="R304" s="286">
        <f t="shared" si="650"/>
        <v>397.41999999999996</v>
      </c>
      <c r="T304" s="286">
        <f t="shared" si="651"/>
        <v>397.41999999999996</v>
      </c>
      <c r="U304" s="286">
        <v>1</v>
      </c>
      <c r="V304" s="286">
        <f t="shared" si="652"/>
        <v>397.41999999999996</v>
      </c>
      <c r="W304" s="286"/>
      <c r="X304" s="286">
        <f t="shared" si="653"/>
        <v>629.24833333330321</v>
      </c>
      <c r="Y304" s="286">
        <f t="shared" si="654"/>
        <v>629.24833333330321</v>
      </c>
      <c r="Z304" s="286">
        <v>1</v>
      </c>
      <c r="AA304" s="286">
        <f t="shared" si="655"/>
        <v>629.24833333330321</v>
      </c>
      <c r="AB304" s="286">
        <f t="shared" si="656"/>
        <v>1026.6683333333031</v>
      </c>
      <c r="AC304" s="286">
        <f t="shared" si="657"/>
        <v>1953.9816666666968</v>
      </c>
      <c r="AD304" s="286">
        <f t="shared" si="606"/>
        <v>2015.4166666666667</v>
      </c>
      <c r="AE304" s="286">
        <f t="shared" si="607"/>
        <v>2018</v>
      </c>
      <c r="AF304" s="286">
        <f t="shared" si="608"/>
        <v>2022.4166666666667</v>
      </c>
      <c r="AG304" s="286">
        <f t="shared" si="609"/>
        <v>2017</v>
      </c>
      <c r="AH304" s="286">
        <f t="shared" si="610"/>
        <v>-8.3333333333333329E-2</v>
      </c>
      <c r="AJ304" s="11">
        <f t="shared" si="611"/>
        <v>0</v>
      </c>
      <c r="AL304" s="11">
        <f t="shared" si="612"/>
        <v>397.41999999999996</v>
      </c>
      <c r="AN304" s="11">
        <f t="shared" si="613"/>
        <v>0</v>
      </c>
      <c r="AP304" s="11">
        <f t="shared" si="614"/>
        <v>0</v>
      </c>
      <c r="AR304" s="11">
        <f t="shared" si="615"/>
        <v>1953.9816666666968</v>
      </c>
    </row>
    <row r="305" spans="1:44">
      <c r="A305" s="282">
        <v>123452</v>
      </c>
      <c r="C305" s="282">
        <v>200</v>
      </c>
      <c r="D305" s="282" t="s">
        <v>208</v>
      </c>
      <c r="E305" s="282">
        <v>2015</v>
      </c>
      <c r="F305" s="284">
        <v>6</v>
      </c>
      <c r="G305" s="307">
        <v>0</v>
      </c>
      <c r="H305" s="286"/>
      <c r="I305" s="308" t="s">
        <v>86</v>
      </c>
      <c r="J305" s="284">
        <v>7</v>
      </c>
      <c r="K305" s="309">
        <f t="shared" ref="K305:K306" si="658">E305+J305</f>
        <v>2022</v>
      </c>
      <c r="N305" s="285">
        <v>12716.2</v>
      </c>
      <c r="P305" s="286">
        <f t="shared" si="648"/>
        <v>12716.2</v>
      </c>
      <c r="Q305" s="286">
        <f t="shared" si="649"/>
        <v>151.38333333333335</v>
      </c>
      <c r="R305" s="286">
        <f t="shared" si="650"/>
        <v>1816.6000000000004</v>
      </c>
      <c r="T305" s="286">
        <f t="shared" si="651"/>
        <v>1816.6000000000004</v>
      </c>
      <c r="U305" s="286">
        <v>1</v>
      </c>
      <c r="V305" s="286">
        <f t="shared" si="652"/>
        <v>1816.6000000000004</v>
      </c>
      <c r="W305" s="286"/>
      <c r="X305" s="286">
        <f t="shared" si="653"/>
        <v>2876.283333333196</v>
      </c>
      <c r="Y305" s="286">
        <f t="shared" si="654"/>
        <v>2876.283333333196</v>
      </c>
      <c r="Z305" s="286">
        <v>1</v>
      </c>
      <c r="AA305" s="286">
        <f t="shared" si="655"/>
        <v>2876.283333333196</v>
      </c>
      <c r="AB305" s="286">
        <f t="shared" si="656"/>
        <v>4692.8833333331968</v>
      </c>
      <c r="AC305" s="286">
        <f t="shared" si="657"/>
        <v>8931.6166666668032</v>
      </c>
      <c r="AD305" s="286">
        <f t="shared" si="606"/>
        <v>2015.4166666666667</v>
      </c>
      <c r="AE305" s="286">
        <f t="shared" si="607"/>
        <v>2018</v>
      </c>
      <c r="AF305" s="286">
        <f t="shared" si="608"/>
        <v>2022.4166666666667</v>
      </c>
      <c r="AG305" s="286">
        <f t="shared" si="609"/>
        <v>2017</v>
      </c>
      <c r="AH305" s="286">
        <f t="shared" si="610"/>
        <v>-8.3333333333333329E-2</v>
      </c>
      <c r="AJ305" s="11">
        <f t="shared" si="611"/>
        <v>0</v>
      </c>
      <c r="AL305" s="11">
        <f t="shared" si="612"/>
        <v>1816.6000000000004</v>
      </c>
      <c r="AN305" s="11">
        <f t="shared" si="613"/>
        <v>0</v>
      </c>
      <c r="AP305" s="11">
        <f t="shared" si="614"/>
        <v>0</v>
      </c>
      <c r="AR305" s="11">
        <f t="shared" si="615"/>
        <v>8931.6166666668032</v>
      </c>
    </row>
    <row r="306" spans="1:44">
      <c r="A306" s="282">
        <v>123453</v>
      </c>
      <c r="C306" s="282">
        <v>10</v>
      </c>
      <c r="D306" s="282" t="s">
        <v>328</v>
      </c>
      <c r="E306" s="282">
        <v>2015</v>
      </c>
      <c r="F306" s="284">
        <v>6</v>
      </c>
      <c r="G306" s="307">
        <v>0</v>
      </c>
      <c r="H306" s="286"/>
      <c r="I306" s="308" t="s">
        <v>86</v>
      </c>
      <c r="J306" s="284">
        <v>7</v>
      </c>
      <c r="K306" s="309">
        <f t="shared" si="658"/>
        <v>2022</v>
      </c>
      <c r="N306" s="285">
        <v>554.44000000000005</v>
      </c>
      <c r="P306" s="286">
        <f t="shared" si="648"/>
        <v>554.44000000000005</v>
      </c>
      <c r="Q306" s="286">
        <f t="shared" si="649"/>
        <v>6.6004761904761908</v>
      </c>
      <c r="R306" s="286">
        <f t="shared" si="650"/>
        <v>79.205714285714294</v>
      </c>
      <c r="T306" s="286">
        <f t="shared" si="651"/>
        <v>79.205714285714294</v>
      </c>
      <c r="U306" s="286">
        <v>1</v>
      </c>
      <c r="V306" s="286">
        <f t="shared" si="652"/>
        <v>79.205714285714294</v>
      </c>
      <c r="W306" s="286"/>
      <c r="X306" s="286">
        <f t="shared" si="653"/>
        <v>125.40904761904163</v>
      </c>
      <c r="Y306" s="286">
        <f t="shared" si="654"/>
        <v>125.40904761904163</v>
      </c>
      <c r="Z306" s="286">
        <v>1</v>
      </c>
      <c r="AA306" s="286">
        <f t="shared" si="655"/>
        <v>125.40904761904163</v>
      </c>
      <c r="AB306" s="286">
        <f t="shared" si="656"/>
        <v>204.61476190475594</v>
      </c>
      <c r="AC306" s="286">
        <f t="shared" si="657"/>
        <v>389.42809523810126</v>
      </c>
      <c r="AD306" s="286">
        <f t="shared" si="606"/>
        <v>2015.4166666666667</v>
      </c>
      <c r="AE306" s="286">
        <f t="shared" si="607"/>
        <v>2018</v>
      </c>
      <c r="AF306" s="286">
        <f t="shared" si="608"/>
        <v>2022.4166666666667</v>
      </c>
      <c r="AG306" s="286">
        <f t="shared" si="609"/>
        <v>2017</v>
      </c>
      <c r="AH306" s="286">
        <f t="shared" si="610"/>
        <v>-8.3333333333333329E-2</v>
      </c>
      <c r="AJ306" s="11">
        <f t="shared" si="611"/>
        <v>0</v>
      </c>
      <c r="AL306" s="11">
        <f t="shared" si="612"/>
        <v>79.205714285714294</v>
      </c>
      <c r="AN306" s="11">
        <f t="shared" si="613"/>
        <v>0</v>
      </c>
      <c r="AP306" s="11">
        <f t="shared" si="614"/>
        <v>0</v>
      </c>
      <c r="AR306" s="11">
        <f t="shared" si="615"/>
        <v>389.42809523810126</v>
      </c>
    </row>
    <row r="307" spans="1:44">
      <c r="A307" s="282">
        <v>132254</v>
      </c>
      <c r="C307" s="282">
        <v>325</v>
      </c>
      <c r="D307" s="282" t="s">
        <v>206</v>
      </c>
      <c r="E307" s="282">
        <v>2016</v>
      </c>
      <c r="F307" s="284">
        <v>1</v>
      </c>
      <c r="G307" s="307">
        <v>0</v>
      </c>
      <c r="H307" s="286"/>
      <c r="I307" s="308" t="s">
        <v>86</v>
      </c>
      <c r="J307" s="284">
        <v>7</v>
      </c>
      <c r="K307" s="309">
        <f t="shared" ref="K307:K308" si="659">E307+J307</f>
        <v>2023</v>
      </c>
      <c r="N307" s="285">
        <v>12825.47</v>
      </c>
      <c r="P307" s="286">
        <f t="shared" si="648"/>
        <v>12825.47</v>
      </c>
      <c r="Q307" s="286">
        <f t="shared" si="649"/>
        <v>152.68416666666664</v>
      </c>
      <c r="R307" s="286">
        <f t="shared" ref="R307:R308" si="660">IF(O307&gt;0,0,IF(OR(AD307&gt;AE307,AF307&lt;AG307),0,IF(AND(AF307&gt;=AG307,AF307&lt;=AE307),Q307*((AF307-AG307)*12),IF(AND(AG307&lt;=AD307,AE307&gt;=AD307),((AE307-AD307)*12)*Q307,IF(AF307&gt;AE307,12*Q307,0)))))</f>
        <v>1832.2099999999996</v>
      </c>
      <c r="T307" s="286">
        <f t="shared" ref="T307:T308" si="661">IF(S307&gt;0,S307,R307)</f>
        <v>1832.2099999999996</v>
      </c>
      <c r="U307" s="286">
        <v>1</v>
      </c>
      <c r="V307" s="286">
        <f t="shared" ref="V307:V308" si="662">U307*SUM(R307:S307)</f>
        <v>1832.2099999999996</v>
      </c>
      <c r="W307" s="286"/>
      <c r="X307" s="286">
        <f t="shared" ref="X307:X308" si="663">IF(AD307&gt;AE307,0,IF(AF307&lt;AG307,P307,IF(AND(AF307&gt;=AG307,AF307&lt;=AE307),(P307-T307),IF(AND(AG307&lt;=AD307,AE307&gt;=AD307),0,IF(AF307&gt;AE307,((AG307-AD307)*12)*Q307,0)))))</f>
        <v>1832.2099999999996</v>
      </c>
      <c r="Y307" s="286">
        <f t="shared" ref="Y307:Y308" si="664">X307*U307</f>
        <v>1832.2099999999996</v>
      </c>
      <c r="Z307" s="286">
        <v>1</v>
      </c>
      <c r="AA307" s="286">
        <f t="shared" ref="AA307:AA308" si="665">Y307*Z307</f>
        <v>1832.2099999999996</v>
      </c>
      <c r="AB307" s="286">
        <f t="shared" ref="AB307:AB308" si="666">IF(O307&gt;0,0,AA307+V307*Z307)*Z307</f>
        <v>3664.4199999999992</v>
      </c>
      <c r="AC307" s="286">
        <f t="shared" ref="AC307:AC308" si="667">IF(O307&gt;0,(N307-AA307)/2,IF(AD307&gt;=AG307,(((N307*U307)*Z307)-AB307)/2,((((N307*U307)*Z307)-AA307)+(((N307*U307)*Z307)-AB307))/2))</f>
        <v>10077.154999999999</v>
      </c>
      <c r="AD307" s="286">
        <f t="shared" si="606"/>
        <v>2016</v>
      </c>
      <c r="AE307" s="286">
        <f t="shared" si="607"/>
        <v>2018</v>
      </c>
      <c r="AF307" s="286">
        <f t="shared" si="608"/>
        <v>2023</v>
      </c>
      <c r="AG307" s="286">
        <f t="shared" si="609"/>
        <v>2017</v>
      </c>
      <c r="AH307" s="286">
        <f t="shared" si="610"/>
        <v>-8.3333333333333329E-2</v>
      </c>
      <c r="AJ307" s="11">
        <f t="shared" si="611"/>
        <v>0</v>
      </c>
      <c r="AL307" s="11">
        <f t="shared" si="612"/>
        <v>1832.2099999999996</v>
      </c>
      <c r="AN307" s="11">
        <f t="shared" si="613"/>
        <v>0</v>
      </c>
      <c r="AP307" s="11">
        <f t="shared" si="614"/>
        <v>0</v>
      </c>
      <c r="AR307" s="11">
        <f t="shared" si="615"/>
        <v>10077.154999999999</v>
      </c>
    </row>
    <row r="308" spans="1:44">
      <c r="A308" s="282">
        <v>132253</v>
      </c>
      <c r="C308" s="282">
        <v>94</v>
      </c>
      <c r="D308" s="282" t="s">
        <v>207</v>
      </c>
      <c r="E308" s="282">
        <v>2016</v>
      </c>
      <c r="F308" s="284">
        <v>1</v>
      </c>
      <c r="G308" s="307">
        <v>0</v>
      </c>
      <c r="H308" s="286"/>
      <c r="I308" s="308" t="s">
        <v>86</v>
      </c>
      <c r="J308" s="284">
        <v>7</v>
      </c>
      <c r="K308" s="309">
        <f t="shared" si="659"/>
        <v>2023</v>
      </c>
      <c r="N308" s="285">
        <v>4226.53</v>
      </c>
      <c r="P308" s="286">
        <f t="shared" si="648"/>
        <v>4226.53</v>
      </c>
      <c r="Q308" s="286">
        <f t="shared" si="649"/>
        <v>50.31583333333333</v>
      </c>
      <c r="R308" s="286">
        <f t="shared" si="660"/>
        <v>603.79</v>
      </c>
      <c r="T308" s="286">
        <f t="shared" si="661"/>
        <v>603.79</v>
      </c>
      <c r="U308" s="286">
        <v>1</v>
      </c>
      <c r="V308" s="286">
        <f t="shared" si="662"/>
        <v>603.79</v>
      </c>
      <c r="W308" s="286"/>
      <c r="X308" s="286">
        <f t="shared" si="663"/>
        <v>603.79</v>
      </c>
      <c r="Y308" s="286">
        <f t="shared" si="664"/>
        <v>603.79</v>
      </c>
      <c r="Z308" s="286">
        <v>1</v>
      </c>
      <c r="AA308" s="286">
        <f t="shared" si="665"/>
        <v>603.79</v>
      </c>
      <c r="AB308" s="286">
        <f t="shared" si="666"/>
        <v>1207.58</v>
      </c>
      <c r="AC308" s="286">
        <f t="shared" si="667"/>
        <v>3320.8449999999998</v>
      </c>
      <c r="AD308" s="286">
        <f t="shared" si="606"/>
        <v>2016</v>
      </c>
      <c r="AE308" s="286">
        <f t="shared" si="607"/>
        <v>2018</v>
      </c>
      <c r="AF308" s="286">
        <f t="shared" si="608"/>
        <v>2023</v>
      </c>
      <c r="AG308" s="286">
        <f t="shared" si="609"/>
        <v>2017</v>
      </c>
      <c r="AH308" s="286">
        <f t="shared" si="610"/>
        <v>-8.3333333333333329E-2</v>
      </c>
      <c r="AJ308" s="11">
        <f t="shared" si="611"/>
        <v>0</v>
      </c>
      <c r="AL308" s="11">
        <f t="shared" si="612"/>
        <v>603.79</v>
      </c>
      <c r="AN308" s="11">
        <f t="shared" si="613"/>
        <v>0</v>
      </c>
      <c r="AP308" s="11">
        <f t="shared" si="614"/>
        <v>0</v>
      </c>
      <c r="AR308" s="11">
        <f t="shared" si="615"/>
        <v>3320.8449999999998</v>
      </c>
    </row>
    <row r="309" spans="1:44">
      <c r="A309" s="282">
        <v>132252</v>
      </c>
      <c r="C309" s="282">
        <v>56</v>
      </c>
      <c r="D309" s="282" t="s">
        <v>207</v>
      </c>
      <c r="E309" s="282">
        <v>2016</v>
      </c>
      <c r="F309" s="284">
        <v>2</v>
      </c>
      <c r="G309" s="307">
        <v>0</v>
      </c>
      <c r="H309" s="286"/>
      <c r="I309" s="308" t="s">
        <v>86</v>
      </c>
      <c r="J309" s="284">
        <v>7</v>
      </c>
      <c r="K309" s="309">
        <f t="shared" ref="K309:K311" si="668">E309+J309</f>
        <v>2023</v>
      </c>
      <c r="N309" s="285">
        <v>2546.0500000000002</v>
      </c>
      <c r="P309" s="286">
        <f t="shared" si="648"/>
        <v>2546.0500000000002</v>
      </c>
      <c r="Q309" s="286">
        <f t="shared" si="649"/>
        <v>30.31011904761905</v>
      </c>
      <c r="R309" s="286">
        <f t="shared" ref="R309:R311" si="669">IF(O309&gt;0,0,IF(OR(AD309&gt;AE309,AF309&lt;AG309),0,IF(AND(AF309&gt;=AG309,AF309&lt;=AE309),Q309*((AF309-AG309)*12),IF(AND(AG309&lt;=AD309,AE309&gt;=AD309),((AE309-AD309)*12)*Q309,IF(AF309&gt;AE309,12*Q309,0)))))</f>
        <v>363.72142857142859</v>
      </c>
      <c r="T309" s="286">
        <f t="shared" ref="T309:T311" si="670">IF(S309&gt;0,S309,R309)</f>
        <v>363.72142857142859</v>
      </c>
      <c r="U309" s="286">
        <v>1</v>
      </c>
      <c r="V309" s="286">
        <f t="shared" ref="V309:V311" si="671">U309*SUM(R309:S309)</f>
        <v>363.72142857142859</v>
      </c>
      <c r="W309" s="286"/>
      <c r="X309" s="286">
        <f t="shared" ref="X309:X311" si="672">IF(AD309&gt;AE309,0,IF(AF309&lt;AG309,P309,IF(AND(AF309&gt;=AG309,AF309&lt;=AE309),(P309-T309),IF(AND(AG309&lt;=AD309,AE309&gt;=AD309),0,IF(AF309&gt;AE309,((AG309-AD309)*12)*Q309,0)))))</f>
        <v>333.41130952383713</v>
      </c>
      <c r="Y309" s="286">
        <f t="shared" ref="Y309:Y311" si="673">X309*U309</f>
        <v>333.41130952383713</v>
      </c>
      <c r="Z309" s="286">
        <v>1</v>
      </c>
      <c r="AA309" s="286">
        <f t="shared" ref="AA309:AA311" si="674">Y309*Z309</f>
        <v>333.41130952383713</v>
      </c>
      <c r="AB309" s="286">
        <f t="shared" ref="AB309:AB311" si="675">IF(O309&gt;0,0,AA309+V309*Z309)*Z309</f>
        <v>697.13273809526572</v>
      </c>
      <c r="AC309" s="286">
        <f t="shared" ref="AC309:AC311" si="676">IF(O309&gt;0,(N309-AA309)/2,IF(AD309&gt;=AG309,(((N309*U309)*Z309)-AB309)/2,((((N309*U309)*Z309)-AA309)+(((N309*U309)*Z309)-AB309))/2))</f>
        <v>2030.7779761904487</v>
      </c>
      <c r="AD309" s="286">
        <f t="shared" si="606"/>
        <v>2016.0833333333333</v>
      </c>
      <c r="AE309" s="286">
        <f t="shared" si="607"/>
        <v>2018</v>
      </c>
      <c r="AF309" s="286">
        <f t="shared" si="608"/>
        <v>2023.0833333333333</v>
      </c>
      <c r="AG309" s="286">
        <f t="shared" si="609"/>
        <v>2017</v>
      </c>
      <c r="AH309" s="286">
        <f t="shared" si="610"/>
        <v>-8.3333333333333329E-2</v>
      </c>
      <c r="AJ309" s="11">
        <f t="shared" si="611"/>
        <v>0</v>
      </c>
      <c r="AL309" s="11">
        <f t="shared" si="612"/>
        <v>363.72142857142859</v>
      </c>
      <c r="AN309" s="11">
        <f t="shared" si="613"/>
        <v>0</v>
      </c>
      <c r="AP309" s="11">
        <f t="shared" si="614"/>
        <v>0</v>
      </c>
      <c r="AR309" s="11">
        <f t="shared" si="615"/>
        <v>2030.7779761904487</v>
      </c>
    </row>
    <row r="310" spans="1:44">
      <c r="A310" s="282">
        <v>132251</v>
      </c>
      <c r="C310" s="282">
        <v>150</v>
      </c>
      <c r="D310" s="282" t="s">
        <v>208</v>
      </c>
      <c r="E310" s="282">
        <v>2016</v>
      </c>
      <c r="F310" s="284">
        <v>2</v>
      </c>
      <c r="G310" s="307">
        <v>0</v>
      </c>
      <c r="H310" s="286"/>
      <c r="I310" s="308" t="s">
        <v>86</v>
      </c>
      <c r="J310" s="284">
        <v>7</v>
      </c>
      <c r="K310" s="309">
        <f t="shared" si="668"/>
        <v>2023</v>
      </c>
      <c r="N310" s="285">
        <v>7138.2</v>
      </c>
      <c r="P310" s="286">
        <f t="shared" si="648"/>
        <v>7138.2</v>
      </c>
      <c r="Q310" s="286">
        <f t="shared" si="649"/>
        <v>84.978571428571428</v>
      </c>
      <c r="R310" s="286">
        <f t="shared" si="669"/>
        <v>1019.7428571428571</v>
      </c>
      <c r="T310" s="286">
        <f t="shared" si="670"/>
        <v>1019.7428571428571</v>
      </c>
      <c r="U310" s="286">
        <v>1</v>
      </c>
      <c r="V310" s="286">
        <f t="shared" si="671"/>
        <v>1019.7428571428571</v>
      </c>
      <c r="W310" s="286"/>
      <c r="X310" s="286">
        <f t="shared" si="672"/>
        <v>934.76428571436304</v>
      </c>
      <c r="Y310" s="286">
        <f t="shared" si="673"/>
        <v>934.76428571436304</v>
      </c>
      <c r="Z310" s="286">
        <v>1</v>
      </c>
      <c r="AA310" s="286">
        <f t="shared" si="674"/>
        <v>934.76428571436304</v>
      </c>
      <c r="AB310" s="286">
        <f t="shared" si="675"/>
        <v>1954.5071428572201</v>
      </c>
      <c r="AC310" s="286">
        <f t="shared" si="676"/>
        <v>5693.5642857142084</v>
      </c>
      <c r="AD310" s="286">
        <f t="shared" si="606"/>
        <v>2016.0833333333333</v>
      </c>
      <c r="AE310" s="286">
        <f t="shared" si="607"/>
        <v>2018</v>
      </c>
      <c r="AF310" s="286">
        <f t="shared" si="608"/>
        <v>2023.0833333333333</v>
      </c>
      <c r="AG310" s="286">
        <f t="shared" si="609"/>
        <v>2017</v>
      </c>
      <c r="AH310" s="286">
        <f t="shared" si="610"/>
        <v>-8.3333333333333329E-2</v>
      </c>
      <c r="AJ310" s="11">
        <f t="shared" si="611"/>
        <v>0</v>
      </c>
      <c r="AL310" s="11">
        <f t="shared" si="612"/>
        <v>1019.7428571428571</v>
      </c>
      <c r="AN310" s="11">
        <f t="shared" si="613"/>
        <v>0</v>
      </c>
      <c r="AP310" s="11">
        <f t="shared" si="614"/>
        <v>0</v>
      </c>
      <c r="AR310" s="11">
        <f t="shared" si="615"/>
        <v>5693.5642857142084</v>
      </c>
    </row>
    <row r="311" spans="1:44">
      <c r="A311" s="282">
        <v>132250</v>
      </c>
      <c r="C311" s="282">
        <v>150</v>
      </c>
      <c r="D311" s="282" t="s">
        <v>209</v>
      </c>
      <c r="E311" s="282">
        <v>2016</v>
      </c>
      <c r="F311" s="284">
        <v>2</v>
      </c>
      <c r="G311" s="307">
        <v>0</v>
      </c>
      <c r="H311" s="286"/>
      <c r="I311" s="308" t="s">
        <v>86</v>
      </c>
      <c r="J311" s="284">
        <v>7</v>
      </c>
      <c r="K311" s="309">
        <f t="shared" si="668"/>
        <v>2023</v>
      </c>
      <c r="N311" s="285">
        <v>8095.75</v>
      </c>
      <c r="P311" s="286">
        <f t="shared" si="648"/>
        <v>8095.75</v>
      </c>
      <c r="Q311" s="286">
        <f t="shared" si="649"/>
        <v>96.37797619047619</v>
      </c>
      <c r="R311" s="286">
        <f t="shared" si="669"/>
        <v>1156.5357142857142</v>
      </c>
      <c r="T311" s="286">
        <f t="shared" si="670"/>
        <v>1156.5357142857142</v>
      </c>
      <c r="U311" s="286">
        <v>1</v>
      </c>
      <c r="V311" s="286">
        <f t="shared" si="671"/>
        <v>1156.5357142857142</v>
      </c>
      <c r="W311" s="286"/>
      <c r="X311" s="286">
        <f t="shared" si="672"/>
        <v>1060.1577380953258</v>
      </c>
      <c r="Y311" s="286">
        <f t="shared" si="673"/>
        <v>1060.1577380953258</v>
      </c>
      <c r="Z311" s="286">
        <v>1</v>
      </c>
      <c r="AA311" s="286">
        <f t="shared" si="674"/>
        <v>1060.1577380953258</v>
      </c>
      <c r="AB311" s="286">
        <f t="shared" si="675"/>
        <v>2216.6934523810401</v>
      </c>
      <c r="AC311" s="286">
        <f t="shared" si="676"/>
        <v>6457.3244047618173</v>
      </c>
      <c r="AD311" s="286">
        <f t="shared" si="606"/>
        <v>2016.0833333333333</v>
      </c>
      <c r="AE311" s="286">
        <f t="shared" si="607"/>
        <v>2018</v>
      </c>
      <c r="AF311" s="286">
        <f t="shared" si="608"/>
        <v>2023.0833333333333</v>
      </c>
      <c r="AG311" s="286">
        <f t="shared" si="609"/>
        <v>2017</v>
      </c>
      <c r="AH311" s="286">
        <f t="shared" si="610"/>
        <v>-8.3333333333333329E-2</v>
      </c>
      <c r="AJ311" s="11">
        <f t="shared" si="611"/>
        <v>0</v>
      </c>
      <c r="AL311" s="11">
        <f t="shared" si="612"/>
        <v>1156.5357142857142</v>
      </c>
      <c r="AN311" s="11">
        <f t="shared" si="613"/>
        <v>0</v>
      </c>
      <c r="AP311" s="11">
        <f t="shared" si="614"/>
        <v>0</v>
      </c>
      <c r="AR311" s="11">
        <f t="shared" si="615"/>
        <v>6457.3244047618173</v>
      </c>
    </row>
    <row r="312" spans="1:44">
      <c r="A312" s="282">
        <v>169569</v>
      </c>
      <c r="C312" s="282">
        <v>377</v>
      </c>
      <c r="D312" s="282" t="s">
        <v>208</v>
      </c>
      <c r="E312" s="282">
        <v>2016</v>
      </c>
      <c r="F312" s="284">
        <v>11</v>
      </c>
      <c r="G312" s="307">
        <v>0</v>
      </c>
      <c r="H312" s="286"/>
      <c r="I312" s="308" t="s">
        <v>86</v>
      </c>
      <c r="J312" s="284">
        <v>7</v>
      </c>
      <c r="K312" s="309">
        <f t="shared" ref="K312" si="677">E312+J312</f>
        <v>2023</v>
      </c>
      <c r="N312" s="285">
        <v>17324.77</v>
      </c>
      <c r="P312" s="286">
        <f t="shared" ref="P312" si="678">N312-N312*G312</f>
        <v>17324.77</v>
      </c>
      <c r="Q312" s="286">
        <f t="shared" ref="Q312" si="679">P312/J312/12</f>
        <v>206.2472619047619</v>
      </c>
      <c r="R312" s="286">
        <f t="shared" ref="R312" si="680">IF(O312&gt;0,0,IF(OR(AD312&gt;AE312,AF312&lt;AG312),0,IF(AND(AF312&gt;=AG312,AF312&lt;=AE312),Q312*((AF312-AG312)*12),IF(AND(AG312&lt;=AD312,AE312&gt;=AD312),((AE312-AD312)*12)*Q312,IF(AF312&gt;AE312,12*Q312,0)))))</f>
        <v>2474.9671428571428</v>
      </c>
      <c r="T312" s="286">
        <f t="shared" ref="T312" si="681">IF(S312&gt;0,S312,R312)</f>
        <v>2474.9671428571428</v>
      </c>
      <c r="U312" s="286">
        <v>1</v>
      </c>
      <c r="V312" s="286">
        <f t="shared" ref="V312" si="682">U312*SUM(R312:S312)</f>
        <v>2474.9671428571428</v>
      </c>
      <c r="W312" s="286"/>
      <c r="X312" s="286">
        <f t="shared" ref="X312" si="683">IF(AD312&gt;AE312,0,IF(AF312&lt;AG312,P312,IF(AND(AF312&gt;=AG312,AF312&lt;=AE312),(P312-T312),IF(AND(AG312&lt;=AD312,AE312&gt;=AD312),0,IF(AF312&gt;AE312,((AG312-AD312)*12)*Q312,0)))))</f>
        <v>412.49452380971138</v>
      </c>
      <c r="Y312" s="286">
        <f t="shared" ref="Y312" si="684">X312*U312</f>
        <v>412.49452380971138</v>
      </c>
      <c r="Z312" s="286">
        <v>1</v>
      </c>
      <c r="AA312" s="286">
        <f t="shared" ref="AA312" si="685">Y312*Z312</f>
        <v>412.49452380971138</v>
      </c>
      <c r="AB312" s="286">
        <f t="shared" ref="AB312" si="686">IF(O312&gt;0,0,AA312+V312*Z312)*Z312</f>
        <v>2887.4616666668544</v>
      </c>
      <c r="AC312" s="286">
        <f t="shared" ref="AC312" si="687">IF(O312&gt;0,(N312-AA312)/2,IF(AD312&gt;=AG312,(((N312*U312)*Z312)-AB312)/2,((((N312*U312)*Z312)-AA312)+(((N312*U312)*Z312)-AB312))/2))</f>
        <v>15674.791904761718</v>
      </c>
      <c r="AD312" s="286">
        <f t="shared" si="606"/>
        <v>2016.8333333333333</v>
      </c>
      <c r="AE312" s="286">
        <f t="shared" si="607"/>
        <v>2018</v>
      </c>
      <c r="AF312" s="286">
        <f t="shared" si="608"/>
        <v>2023.8333333333333</v>
      </c>
      <c r="AG312" s="286">
        <f t="shared" si="609"/>
        <v>2017</v>
      </c>
      <c r="AH312" s="286">
        <f t="shared" si="610"/>
        <v>-8.3333333333333329E-2</v>
      </c>
      <c r="AJ312" s="11">
        <f t="shared" si="611"/>
        <v>0</v>
      </c>
      <c r="AL312" s="11">
        <f t="shared" si="612"/>
        <v>2474.9671428571428</v>
      </c>
      <c r="AN312" s="11">
        <f t="shared" si="613"/>
        <v>0</v>
      </c>
      <c r="AP312" s="11">
        <f t="shared" si="614"/>
        <v>0</v>
      </c>
      <c r="AR312" s="11">
        <f t="shared" si="615"/>
        <v>15674.791904761718</v>
      </c>
    </row>
    <row r="313" spans="1:44">
      <c r="A313" s="282">
        <v>169570</v>
      </c>
      <c r="C313" s="282">
        <v>100</v>
      </c>
      <c r="D313" s="282" t="s">
        <v>209</v>
      </c>
      <c r="E313" s="282">
        <v>2016</v>
      </c>
      <c r="F313" s="284">
        <v>11</v>
      </c>
      <c r="G313" s="307">
        <v>0</v>
      </c>
      <c r="H313" s="286"/>
      <c r="I313" s="308" t="s">
        <v>86</v>
      </c>
      <c r="J313" s="284">
        <v>7</v>
      </c>
      <c r="K313" s="309">
        <f t="shared" ref="K313" si="688">E313+J313</f>
        <v>2023</v>
      </c>
      <c r="N313" s="285">
        <v>5219.6400000000003</v>
      </c>
      <c r="P313" s="286">
        <f t="shared" ref="P313" si="689">N313-N313*G313</f>
        <v>5219.6400000000003</v>
      </c>
      <c r="Q313" s="286">
        <f t="shared" ref="Q313" si="690">P313/J313/12</f>
        <v>62.138571428571431</v>
      </c>
      <c r="R313" s="286">
        <f t="shared" ref="R313" si="691">IF(O313&gt;0,0,IF(OR(AD313&gt;AE313,AF313&lt;AG313),0,IF(AND(AF313&gt;=AG313,AF313&lt;=AE313),Q313*((AF313-AG313)*12),IF(AND(AG313&lt;=AD313,AE313&gt;=AD313),((AE313-AD313)*12)*Q313,IF(AF313&gt;AE313,12*Q313,0)))))</f>
        <v>745.66285714285721</v>
      </c>
      <c r="T313" s="286">
        <f t="shared" ref="T313" si="692">IF(S313&gt;0,S313,R313)</f>
        <v>745.66285714285721</v>
      </c>
      <c r="U313" s="286">
        <v>1</v>
      </c>
      <c r="V313" s="286">
        <f t="shared" ref="V313" si="693">U313*SUM(R313:S313)</f>
        <v>745.66285714285721</v>
      </c>
      <c r="W313" s="286"/>
      <c r="X313" s="286">
        <f t="shared" ref="X313" si="694">IF(AD313&gt;AE313,0,IF(AF313&lt;AG313,P313,IF(AND(AF313&gt;=AG313,AF313&lt;=AE313),(P313-T313),IF(AND(AG313&lt;=AD313,AE313&gt;=AD313),0,IF(AF313&gt;AE313,((AG313-AD313)*12)*Q313,0)))))</f>
        <v>124.27714285719938</v>
      </c>
      <c r="Y313" s="286">
        <f t="shared" ref="Y313" si="695">X313*U313</f>
        <v>124.27714285719938</v>
      </c>
      <c r="Z313" s="286">
        <v>1</v>
      </c>
      <c r="AA313" s="286">
        <f t="shared" ref="AA313" si="696">Y313*Z313</f>
        <v>124.27714285719938</v>
      </c>
      <c r="AB313" s="286">
        <f t="shared" ref="AB313" si="697">IF(O313&gt;0,0,AA313+V313*Z313)*Z313</f>
        <v>869.94000000005656</v>
      </c>
      <c r="AC313" s="286">
        <f t="shared" ref="AC313" si="698">IF(O313&gt;0,(N313-AA313)/2,IF(AD313&gt;=AG313,(((N313*U313)*Z313)-AB313)/2,((((N313*U313)*Z313)-AA313)+(((N313*U313)*Z313)-AB313))/2))</f>
        <v>4722.5314285713721</v>
      </c>
      <c r="AD313" s="286">
        <f t="shared" si="606"/>
        <v>2016.8333333333333</v>
      </c>
      <c r="AE313" s="286">
        <f t="shared" si="607"/>
        <v>2018</v>
      </c>
      <c r="AF313" s="286">
        <f t="shared" si="608"/>
        <v>2023.8333333333333</v>
      </c>
      <c r="AG313" s="286">
        <f t="shared" si="609"/>
        <v>2017</v>
      </c>
      <c r="AH313" s="286">
        <f t="shared" si="610"/>
        <v>-8.3333333333333329E-2</v>
      </c>
      <c r="AJ313" s="11">
        <f t="shared" si="611"/>
        <v>0</v>
      </c>
      <c r="AL313" s="11">
        <f t="shared" si="612"/>
        <v>745.66285714285721</v>
      </c>
      <c r="AN313" s="11">
        <f t="shared" si="613"/>
        <v>0</v>
      </c>
      <c r="AP313" s="11">
        <f t="shared" si="614"/>
        <v>0</v>
      </c>
      <c r="AR313" s="11">
        <f t="shared" si="615"/>
        <v>4722.5314285713721</v>
      </c>
    </row>
    <row r="314" spans="1:44">
      <c r="A314" s="282">
        <v>169571</v>
      </c>
      <c r="C314" s="282">
        <v>463</v>
      </c>
      <c r="D314" s="282" t="s">
        <v>207</v>
      </c>
      <c r="E314" s="282">
        <v>2016</v>
      </c>
      <c r="F314" s="284">
        <v>11</v>
      </c>
      <c r="G314" s="307">
        <v>0</v>
      </c>
      <c r="H314" s="286"/>
      <c r="I314" s="308" t="s">
        <v>86</v>
      </c>
      <c r="J314" s="284">
        <v>7</v>
      </c>
      <c r="K314" s="309">
        <f t="shared" ref="K314" si="699">E314+J314</f>
        <v>2023</v>
      </c>
      <c r="N314" s="285">
        <v>20560.86</v>
      </c>
      <c r="P314" s="286">
        <f t="shared" ref="P314" si="700">N314-N314*G314</f>
        <v>20560.86</v>
      </c>
      <c r="Q314" s="286">
        <f t="shared" ref="Q314" si="701">P314/J314/12</f>
        <v>244.77214285714285</v>
      </c>
      <c r="R314" s="286">
        <f t="shared" ref="R314" si="702">IF(O314&gt;0,0,IF(OR(AD314&gt;AE314,AF314&lt;AG314),0,IF(AND(AF314&gt;=AG314,AF314&lt;=AE314),Q314*((AF314-AG314)*12),IF(AND(AG314&lt;=AD314,AE314&gt;=AD314),((AE314-AD314)*12)*Q314,IF(AF314&gt;AE314,12*Q314,0)))))</f>
        <v>2937.2657142857142</v>
      </c>
      <c r="T314" s="286">
        <f t="shared" ref="T314" si="703">IF(S314&gt;0,S314,R314)</f>
        <v>2937.2657142857142</v>
      </c>
      <c r="U314" s="286">
        <v>1</v>
      </c>
      <c r="V314" s="286">
        <f t="shared" ref="V314" si="704">U314*SUM(R314:S314)</f>
        <v>2937.2657142857142</v>
      </c>
      <c r="W314" s="286"/>
      <c r="X314" s="286">
        <f t="shared" ref="X314" si="705">IF(AD314&gt;AE314,0,IF(AF314&lt;AG314,P314,IF(AND(AF314&gt;=AG314,AF314&lt;=AE314),(P314-T314),IF(AND(AG314&lt;=AD314,AE314&gt;=AD314),0,IF(AF314&gt;AE314,((AG314-AD314)*12)*Q314,0)))))</f>
        <v>489.54428571450831</v>
      </c>
      <c r="Y314" s="286">
        <f t="shared" ref="Y314" si="706">X314*U314</f>
        <v>489.54428571450831</v>
      </c>
      <c r="Z314" s="286">
        <v>1</v>
      </c>
      <c r="AA314" s="286">
        <f t="shared" ref="AA314" si="707">Y314*Z314</f>
        <v>489.54428571450831</v>
      </c>
      <c r="AB314" s="286">
        <f t="shared" ref="AB314" si="708">IF(O314&gt;0,0,AA314+V314*Z314)*Z314</f>
        <v>3426.8100000002223</v>
      </c>
      <c r="AC314" s="286">
        <f t="shared" ref="AC314" si="709">IF(O314&gt;0,(N314-AA314)/2,IF(AD314&gt;=AG314,(((N314*U314)*Z314)-AB314)/2,((((N314*U314)*Z314)-AA314)+(((N314*U314)*Z314)-AB314))/2))</f>
        <v>18602.682857142634</v>
      </c>
      <c r="AD314" s="286">
        <f t="shared" si="606"/>
        <v>2016.8333333333333</v>
      </c>
      <c r="AE314" s="286">
        <f t="shared" si="607"/>
        <v>2018</v>
      </c>
      <c r="AF314" s="286">
        <f t="shared" si="608"/>
        <v>2023.8333333333333</v>
      </c>
      <c r="AG314" s="286">
        <f t="shared" si="609"/>
        <v>2017</v>
      </c>
      <c r="AH314" s="286">
        <f t="shared" si="610"/>
        <v>-8.3333333333333329E-2</v>
      </c>
      <c r="AJ314" s="11">
        <f t="shared" si="611"/>
        <v>0</v>
      </c>
      <c r="AL314" s="11">
        <f t="shared" si="612"/>
        <v>2937.2657142857142</v>
      </c>
      <c r="AN314" s="11">
        <f t="shared" si="613"/>
        <v>0</v>
      </c>
      <c r="AP314" s="11">
        <f t="shared" si="614"/>
        <v>0</v>
      </c>
      <c r="AR314" s="11">
        <f t="shared" si="615"/>
        <v>18602.682857142634</v>
      </c>
    </row>
    <row r="315" spans="1:44">
      <c r="A315" s="282">
        <v>169572</v>
      </c>
      <c r="C315" s="282">
        <v>10</v>
      </c>
      <c r="D315" s="282" t="s">
        <v>350</v>
      </c>
      <c r="E315" s="282">
        <v>2016</v>
      </c>
      <c r="F315" s="284">
        <v>11</v>
      </c>
      <c r="G315" s="307">
        <v>0</v>
      </c>
      <c r="H315" s="286"/>
      <c r="I315" s="308" t="s">
        <v>86</v>
      </c>
      <c r="J315" s="284">
        <v>7</v>
      </c>
      <c r="K315" s="309">
        <f t="shared" ref="K315" si="710">E315+J315</f>
        <v>2023</v>
      </c>
      <c r="N315" s="285">
        <v>344.49</v>
      </c>
      <c r="P315" s="286">
        <f t="shared" ref="P315" si="711">N315-N315*G315</f>
        <v>344.49</v>
      </c>
      <c r="Q315" s="286">
        <f t="shared" ref="Q315" si="712">P315/J315/12</f>
        <v>4.1010714285714291</v>
      </c>
      <c r="R315" s="286">
        <f t="shared" ref="R315" si="713">IF(O315&gt;0,0,IF(OR(AD315&gt;AE315,AF315&lt;AG315),0,IF(AND(AF315&gt;=AG315,AF315&lt;=AE315),Q315*((AF315-AG315)*12),IF(AND(AG315&lt;=AD315,AE315&gt;=AD315),((AE315-AD315)*12)*Q315,IF(AF315&gt;AE315,12*Q315,0)))))</f>
        <v>49.212857142857146</v>
      </c>
      <c r="T315" s="286">
        <f t="shared" ref="T315" si="714">IF(S315&gt;0,S315,R315)</f>
        <v>49.212857142857146</v>
      </c>
      <c r="U315" s="286">
        <v>1</v>
      </c>
      <c r="V315" s="286">
        <f t="shared" ref="V315" si="715">U315*SUM(R315:S315)</f>
        <v>49.212857142857146</v>
      </c>
      <c r="W315" s="286"/>
      <c r="X315" s="286">
        <f t="shared" ref="X315" si="716">IF(AD315&gt;AE315,0,IF(AF315&lt;AG315,P315,IF(AND(AF315&gt;=AG315,AF315&lt;=AE315),(P315-T315),IF(AND(AG315&lt;=AD315,AE315&gt;=AD315),0,IF(AF315&gt;AE315,((AG315-AD315)*12)*Q315,0)))))</f>
        <v>8.2021428571465886</v>
      </c>
      <c r="Y315" s="286">
        <f t="shared" ref="Y315" si="717">X315*U315</f>
        <v>8.2021428571465886</v>
      </c>
      <c r="Z315" s="286">
        <v>1</v>
      </c>
      <c r="AA315" s="286">
        <f t="shared" ref="AA315" si="718">Y315*Z315</f>
        <v>8.2021428571465886</v>
      </c>
      <c r="AB315" s="286">
        <f t="shared" ref="AB315" si="719">IF(O315&gt;0,0,AA315+V315*Z315)*Z315</f>
        <v>57.415000000003737</v>
      </c>
      <c r="AC315" s="286">
        <f t="shared" ref="AC315" si="720">IF(O315&gt;0,(N315-AA315)/2,IF(AD315&gt;=AG315,(((N315*U315)*Z315)-AB315)/2,((((N315*U315)*Z315)-AA315)+(((N315*U315)*Z315)-AB315))/2))</f>
        <v>311.68142857142482</v>
      </c>
      <c r="AD315" s="286">
        <f t="shared" si="606"/>
        <v>2016.8333333333333</v>
      </c>
      <c r="AE315" s="286">
        <f t="shared" si="607"/>
        <v>2018</v>
      </c>
      <c r="AF315" s="286">
        <f t="shared" si="608"/>
        <v>2023.8333333333333</v>
      </c>
      <c r="AG315" s="286">
        <f t="shared" si="609"/>
        <v>2017</v>
      </c>
      <c r="AH315" s="286">
        <f t="shared" si="610"/>
        <v>-8.3333333333333329E-2</v>
      </c>
      <c r="AJ315" s="11">
        <f t="shared" si="611"/>
        <v>0</v>
      </c>
      <c r="AL315" s="11">
        <f t="shared" si="612"/>
        <v>49.212857142857146</v>
      </c>
      <c r="AN315" s="11">
        <f t="shared" si="613"/>
        <v>0</v>
      </c>
      <c r="AP315" s="11">
        <f t="shared" si="614"/>
        <v>0</v>
      </c>
      <c r="AR315" s="11">
        <f t="shared" si="615"/>
        <v>311.68142857142482</v>
      </c>
    </row>
    <row r="316" spans="1:44">
      <c r="A316" s="309" t="s">
        <v>351</v>
      </c>
      <c r="C316" s="282">
        <v>1500</v>
      </c>
      <c r="D316" s="282" t="s">
        <v>206</v>
      </c>
      <c r="E316" s="282">
        <v>2016</v>
      </c>
      <c r="F316" s="284">
        <v>11</v>
      </c>
      <c r="G316" s="307">
        <v>0</v>
      </c>
      <c r="H316" s="286"/>
      <c r="I316" s="308" t="s">
        <v>86</v>
      </c>
      <c r="J316" s="284">
        <v>7</v>
      </c>
      <c r="K316" s="309">
        <f t="shared" ref="K316:K321" si="721">E316+J316</f>
        <v>2023</v>
      </c>
      <c r="N316" s="285">
        <f>30402.24+28277.81</f>
        <v>58680.05</v>
      </c>
      <c r="P316" s="286">
        <f t="shared" ref="P316" si="722">N316-N316*G316</f>
        <v>58680.05</v>
      </c>
      <c r="Q316" s="286">
        <f t="shared" ref="Q316" si="723">P316/J316/12</f>
        <v>698.57202380952378</v>
      </c>
      <c r="R316" s="286">
        <f t="shared" ref="R316" si="724">IF(O316&gt;0,0,IF(OR(AD316&gt;AE316,AF316&lt;AG316),0,IF(AND(AF316&gt;=AG316,AF316&lt;=AE316),Q316*((AF316-AG316)*12),IF(AND(AG316&lt;=AD316,AE316&gt;=AD316),((AE316-AD316)*12)*Q316,IF(AF316&gt;AE316,12*Q316,0)))))</f>
        <v>8382.8642857142859</v>
      </c>
      <c r="T316" s="286">
        <f t="shared" ref="T316" si="725">IF(S316&gt;0,S316,R316)</f>
        <v>8382.8642857142859</v>
      </c>
      <c r="U316" s="286">
        <v>1</v>
      </c>
      <c r="V316" s="286">
        <f t="shared" ref="V316" si="726">U316*SUM(R316:S316)</f>
        <v>8382.8642857142859</v>
      </c>
      <c r="W316" s="286"/>
      <c r="X316" s="286">
        <f t="shared" ref="X316" si="727">IF(AD316&gt;AE316,0,IF(AF316&lt;AG316,P316,IF(AND(AF316&gt;=AG316,AF316&lt;=AE316),(P316-T316),IF(AND(AG316&lt;=AD316,AE316&gt;=AD316),0,IF(AF316&gt;AE316,((AG316-AD316)*12)*Q316,0)))))</f>
        <v>1397.1440476196829</v>
      </c>
      <c r="Y316" s="286">
        <f t="shared" ref="Y316" si="728">X316*U316</f>
        <v>1397.1440476196829</v>
      </c>
      <c r="Z316" s="286">
        <v>1</v>
      </c>
      <c r="AA316" s="286">
        <f t="shared" ref="AA316" si="729">Y316*Z316</f>
        <v>1397.1440476196829</v>
      </c>
      <c r="AB316" s="286">
        <f t="shared" ref="AB316" si="730">IF(O316&gt;0,0,AA316+V316*Z316)*Z316</f>
        <v>9780.008333333968</v>
      </c>
      <c r="AC316" s="286">
        <f t="shared" ref="AC316" si="731">IF(O316&gt;0,(N316-AA316)/2,IF(AD316&gt;=AG316,(((N316*U316)*Z316)-AB316)/2,((((N316*U316)*Z316)-AA316)+(((N316*U316)*Z316)-AB316))/2))</f>
        <v>53091.473809523173</v>
      </c>
      <c r="AD316" s="286">
        <f t="shared" si="606"/>
        <v>2016.8333333333333</v>
      </c>
      <c r="AE316" s="286">
        <f t="shared" si="607"/>
        <v>2018</v>
      </c>
      <c r="AF316" s="286">
        <f t="shared" si="608"/>
        <v>2023.8333333333333</v>
      </c>
      <c r="AG316" s="286">
        <f t="shared" si="609"/>
        <v>2017</v>
      </c>
      <c r="AH316" s="286">
        <f t="shared" si="610"/>
        <v>-8.3333333333333329E-2</v>
      </c>
      <c r="AJ316" s="11">
        <f t="shared" si="611"/>
        <v>0</v>
      </c>
      <c r="AL316" s="11">
        <f t="shared" si="612"/>
        <v>8382.8642857142859</v>
      </c>
      <c r="AN316" s="11">
        <f t="shared" si="613"/>
        <v>0</v>
      </c>
      <c r="AP316" s="11">
        <f t="shared" si="614"/>
        <v>0</v>
      </c>
      <c r="AR316" s="11">
        <f t="shared" si="615"/>
        <v>53091.473809523173</v>
      </c>
    </row>
    <row r="317" spans="1:44">
      <c r="A317" s="309">
        <v>183382</v>
      </c>
      <c r="C317" s="282">
        <v>950</v>
      </c>
      <c r="D317" s="282" t="s">
        <v>375</v>
      </c>
      <c r="E317" s="282">
        <v>2017</v>
      </c>
      <c r="F317" s="284">
        <v>6</v>
      </c>
      <c r="G317" s="307">
        <v>0</v>
      </c>
      <c r="H317" s="286"/>
      <c r="I317" s="308" t="s">
        <v>86</v>
      </c>
      <c r="J317" s="284">
        <v>7</v>
      </c>
      <c r="K317" s="309">
        <f t="shared" si="721"/>
        <v>2024</v>
      </c>
      <c r="N317" s="285">
        <v>38121.81</v>
      </c>
      <c r="P317" s="286">
        <f t="shared" ref="P317:P321" si="732">N317-N317*G317</f>
        <v>38121.81</v>
      </c>
      <c r="Q317" s="286">
        <f t="shared" ref="Q317:Q321" si="733">P317/J317/12</f>
        <v>453.83107142857142</v>
      </c>
      <c r="R317" s="286">
        <f t="shared" ref="R317" si="734">IF(O317&gt;0,0,IF(OR(AD317&gt;AE317,AF317&lt;AG317),0,IF(AND(AF317&gt;=AG317,AF317&lt;=AE317),Q317*((AF317-AG317)*12),IF(AND(AG317&lt;=AD317,AE317&gt;=AD317),((AE317-AD317)*12)*Q317,IF(AF317&gt;AE317,12*Q317,0)))))</f>
        <v>3176.8174999995872</v>
      </c>
      <c r="T317" s="286">
        <f t="shared" ref="T317" si="735">IF(S317&gt;0,S317,R317)</f>
        <v>3176.8174999995872</v>
      </c>
      <c r="U317" s="286">
        <v>1</v>
      </c>
      <c r="V317" s="286">
        <f t="shared" ref="V317" si="736">U317*SUM(R317:S317)</f>
        <v>3176.8174999995872</v>
      </c>
      <c r="W317" s="286"/>
      <c r="X317" s="286">
        <f t="shared" ref="X317" si="737">IF(AD317&gt;AE317,0,IF(AF317&lt;AG317,P317,IF(AND(AF317&gt;=AG317,AF317&lt;=AE317),(P317-T317),IF(AND(AG317&lt;=AD317,AE317&gt;=AD317),0,IF(AF317&gt;AE317,((AG317-AD317)*12)*Q317,0)))))</f>
        <v>0</v>
      </c>
      <c r="Y317" s="286">
        <f t="shared" ref="Y317" si="738">X317*U317</f>
        <v>0</v>
      </c>
      <c r="Z317" s="286">
        <v>1</v>
      </c>
      <c r="AA317" s="286">
        <f t="shared" ref="AA317" si="739">Y317*Z317</f>
        <v>0</v>
      </c>
      <c r="AB317" s="286">
        <f t="shared" ref="AB317" si="740">IF(O317&gt;0,0,AA317+V317*Z317)*Z317</f>
        <v>3176.8174999995872</v>
      </c>
      <c r="AC317" s="286">
        <f t="shared" ref="AC317" si="741">IF(O317&gt;0,(N317-AA317)/2,IF(AD317&gt;=AG317,(((N317*U317)*Z317)-AB317)/2,((((N317*U317)*Z317)-AA317)+(((N317*U317)*Z317)-AB317))/2))</f>
        <v>17472.496250000204</v>
      </c>
      <c r="AD317" s="286">
        <f t="shared" si="606"/>
        <v>2017.4166666666667</v>
      </c>
      <c r="AE317" s="286">
        <f t="shared" si="607"/>
        <v>2018</v>
      </c>
      <c r="AF317" s="286">
        <f t="shared" si="608"/>
        <v>2024.4166666666667</v>
      </c>
      <c r="AG317" s="286">
        <f t="shared" si="609"/>
        <v>2017</v>
      </c>
      <c r="AH317" s="286">
        <f t="shared" si="610"/>
        <v>-8.3333333333333329E-2</v>
      </c>
      <c r="AJ317" s="11">
        <f t="shared" si="611"/>
        <v>0</v>
      </c>
      <c r="AL317" s="11">
        <f t="shared" si="612"/>
        <v>3176.8174999995872</v>
      </c>
      <c r="AN317" s="11">
        <f t="shared" si="613"/>
        <v>0</v>
      </c>
      <c r="AP317" s="11">
        <f t="shared" si="614"/>
        <v>0</v>
      </c>
      <c r="AR317" s="11">
        <f t="shared" si="615"/>
        <v>17472.496250000204</v>
      </c>
    </row>
    <row r="318" spans="1:44">
      <c r="A318" s="309">
        <v>182817</v>
      </c>
      <c r="C318" s="282">
        <v>783</v>
      </c>
      <c r="D318" s="282" t="s">
        <v>377</v>
      </c>
      <c r="E318" s="282">
        <v>2017</v>
      </c>
      <c r="F318" s="284">
        <v>6</v>
      </c>
      <c r="G318" s="307">
        <v>0</v>
      </c>
      <c r="H318" s="286"/>
      <c r="I318" s="308" t="s">
        <v>86</v>
      </c>
      <c r="J318" s="284">
        <v>7</v>
      </c>
      <c r="K318" s="309">
        <f t="shared" si="721"/>
        <v>2024</v>
      </c>
      <c r="N318" s="285">
        <v>33739.599999999999</v>
      </c>
      <c r="P318" s="286">
        <f t="shared" si="732"/>
        <v>33739.599999999999</v>
      </c>
      <c r="Q318" s="286">
        <f t="shared" si="733"/>
        <v>401.66190476190474</v>
      </c>
      <c r="R318" s="286">
        <f t="shared" ref="R318" si="742">IF(O318&gt;0,0,IF(OR(AD318&gt;AE318,AF318&lt;AG318),0,IF(AND(AF318&gt;=AG318,AF318&lt;=AE318),Q318*((AF318-AG318)*12),IF(AND(AG318&lt;=AD318,AE318&gt;=AD318),((AE318-AD318)*12)*Q318,IF(AF318&gt;AE318,12*Q318,0)))))</f>
        <v>2811.633333332968</v>
      </c>
      <c r="T318" s="286">
        <f t="shared" ref="T318" si="743">IF(S318&gt;0,S318,R318)</f>
        <v>2811.633333332968</v>
      </c>
      <c r="U318" s="286">
        <v>1</v>
      </c>
      <c r="V318" s="286">
        <f t="shared" ref="V318" si="744">U318*SUM(R318:S318)</f>
        <v>2811.633333332968</v>
      </c>
      <c r="W318" s="286"/>
      <c r="X318" s="286">
        <f t="shared" ref="X318" si="745">IF(AD318&gt;AE318,0,IF(AF318&lt;AG318,P318,IF(AND(AF318&gt;=AG318,AF318&lt;=AE318),(P318-T318),IF(AND(AG318&lt;=AD318,AE318&gt;=AD318),0,IF(AF318&gt;AE318,((AG318-AD318)*12)*Q318,0)))))</f>
        <v>0</v>
      </c>
      <c r="Y318" s="286">
        <f t="shared" ref="Y318" si="746">X318*U318</f>
        <v>0</v>
      </c>
      <c r="Z318" s="286">
        <v>1</v>
      </c>
      <c r="AA318" s="286">
        <f t="shared" ref="AA318" si="747">Y318*Z318</f>
        <v>0</v>
      </c>
      <c r="AB318" s="286">
        <f t="shared" ref="AB318" si="748">IF(O318&gt;0,0,AA318+V318*Z318)*Z318</f>
        <v>2811.633333332968</v>
      </c>
      <c r="AC318" s="286">
        <f t="shared" ref="AC318" si="749">IF(O318&gt;0,(N318-AA318)/2,IF(AD318&gt;=AG318,(((N318*U318)*Z318)-AB318)/2,((((N318*U318)*Z318)-AA318)+(((N318*U318)*Z318)-AB318))/2))</f>
        <v>15463.983333333515</v>
      </c>
      <c r="AD318" s="286">
        <f t="shared" si="606"/>
        <v>2017.4166666666667</v>
      </c>
      <c r="AE318" s="286">
        <f t="shared" si="607"/>
        <v>2018</v>
      </c>
      <c r="AF318" s="286">
        <f t="shared" si="608"/>
        <v>2024.4166666666667</v>
      </c>
      <c r="AG318" s="286">
        <f t="shared" si="609"/>
        <v>2017</v>
      </c>
      <c r="AH318" s="286">
        <f t="shared" si="610"/>
        <v>-8.3333333333333329E-2</v>
      </c>
      <c r="AJ318" s="11">
        <f t="shared" si="611"/>
        <v>0</v>
      </c>
      <c r="AL318" s="11">
        <f t="shared" si="612"/>
        <v>2811.633333332968</v>
      </c>
      <c r="AN318" s="11">
        <f t="shared" si="613"/>
        <v>0</v>
      </c>
      <c r="AP318" s="11">
        <f t="shared" si="614"/>
        <v>0</v>
      </c>
      <c r="AR318" s="11">
        <f t="shared" si="615"/>
        <v>15463.983333333515</v>
      </c>
    </row>
    <row r="319" spans="1:44">
      <c r="A319" s="309">
        <v>182816</v>
      </c>
      <c r="C319" s="282">
        <v>950</v>
      </c>
      <c r="D319" s="282" t="s">
        <v>375</v>
      </c>
      <c r="E319" s="282">
        <v>2017</v>
      </c>
      <c r="F319" s="284">
        <v>6</v>
      </c>
      <c r="G319" s="307">
        <v>0</v>
      </c>
      <c r="H319" s="286"/>
      <c r="I319" s="308" t="s">
        <v>86</v>
      </c>
      <c r="J319" s="284">
        <v>7</v>
      </c>
      <c r="K319" s="309">
        <f t="shared" si="721"/>
        <v>2024</v>
      </c>
      <c r="N319" s="285">
        <v>38121.81</v>
      </c>
      <c r="P319" s="286">
        <f t="shared" si="732"/>
        <v>38121.81</v>
      </c>
      <c r="Q319" s="286">
        <f t="shared" si="733"/>
        <v>453.83107142857142</v>
      </c>
      <c r="R319" s="286">
        <f t="shared" ref="R319" si="750">IF(O319&gt;0,0,IF(OR(AD319&gt;AE319,AF319&lt;AG319),0,IF(AND(AF319&gt;=AG319,AF319&lt;=AE319),Q319*((AF319-AG319)*12),IF(AND(AG319&lt;=AD319,AE319&gt;=AD319),((AE319-AD319)*12)*Q319,IF(AF319&gt;AE319,12*Q319,0)))))</f>
        <v>3176.8174999995872</v>
      </c>
      <c r="T319" s="286">
        <f t="shared" ref="T319" si="751">IF(S319&gt;0,S319,R319)</f>
        <v>3176.8174999995872</v>
      </c>
      <c r="U319" s="286">
        <v>1</v>
      </c>
      <c r="V319" s="286">
        <f t="shared" ref="V319" si="752">U319*SUM(R319:S319)</f>
        <v>3176.8174999995872</v>
      </c>
      <c r="W319" s="286"/>
      <c r="X319" s="286">
        <f t="shared" ref="X319" si="753">IF(AD319&gt;AE319,0,IF(AF319&lt;AG319,P319,IF(AND(AF319&gt;=AG319,AF319&lt;=AE319),(P319-T319),IF(AND(AG319&lt;=AD319,AE319&gt;=AD319),0,IF(AF319&gt;AE319,((AG319-AD319)*12)*Q319,0)))))</f>
        <v>0</v>
      </c>
      <c r="Y319" s="286">
        <f t="shared" ref="Y319" si="754">X319*U319</f>
        <v>0</v>
      </c>
      <c r="Z319" s="286">
        <v>1</v>
      </c>
      <c r="AA319" s="286">
        <f t="shared" ref="AA319" si="755">Y319*Z319</f>
        <v>0</v>
      </c>
      <c r="AB319" s="286">
        <f t="shared" ref="AB319" si="756">IF(O319&gt;0,0,AA319+V319*Z319)*Z319</f>
        <v>3176.8174999995872</v>
      </c>
      <c r="AC319" s="286">
        <f t="shared" ref="AC319" si="757">IF(O319&gt;0,(N319-AA319)/2,IF(AD319&gt;=AG319,(((N319*U319)*Z319)-AB319)/2,((((N319*U319)*Z319)-AA319)+(((N319*U319)*Z319)-AB319))/2))</f>
        <v>17472.496250000204</v>
      </c>
      <c r="AD319" s="286">
        <f t="shared" si="606"/>
        <v>2017.4166666666667</v>
      </c>
      <c r="AE319" s="286">
        <f t="shared" si="607"/>
        <v>2018</v>
      </c>
      <c r="AF319" s="286">
        <f t="shared" si="608"/>
        <v>2024.4166666666667</v>
      </c>
      <c r="AG319" s="286">
        <f t="shared" si="609"/>
        <v>2017</v>
      </c>
      <c r="AH319" s="286">
        <f t="shared" si="610"/>
        <v>-8.3333333333333329E-2</v>
      </c>
      <c r="AJ319" s="11">
        <f t="shared" si="611"/>
        <v>0</v>
      </c>
      <c r="AL319" s="11">
        <f t="shared" si="612"/>
        <v>3176.8174999995872</v>
      </c>
      <c r="AN319" s="11">
        <f t="shared" si="613"/>
        <v>0</v>
      </c>
      <c r="AP319" s="11">
        <f t="shared" si="614"/>
        <v>0</v>
      </c>
      <c r="AR319" s="11">
        <f t="shared" si="615"/>
        <v>17472.496250000204</v>
      </c>
    </row>
    <row r="320" spans="1:44">
      <c r="A320" s="309">
        <v>182596</v>
      </c>
      <c r="C320" s="282">
        <v>280</v>
      </c>
      <c r="D320" s="282" t="s">
        <v>378</v>
      </c>
      <c r="E320" s="282">
        <v>2017</v>
      </c>
      <c r="F320" s="284">
        <v>6</v>
      </c>
      <c r="G320" s="307">
        <v>0</v>
      </c>
      <c r="H320" s="286"/>
      <c r="I320" s="308" t="s">
        <v>86</v>
      </c>
      <c r="J320" s="284">
        <v>7</v>
      </c>
      <c r="K320" s="309">
        <f t="shared" si="721"/>
        <v>2024</v>
      </c>
      <c r="N320" s="285">
        <v>14281.93</v>
      </c>
      <c r="P320" s="286">
        <f t="shared" si="732"/>
        <v>14281.93</v>
      </c>
      <c r="Q320" s="286">
        <f t="shared" si="733"/>
        <v>170.02297619047619</v>
      </c>
      <c r="R320" s="286">
        <f t="shared" ref="R320" si="758">IF(O320&gt;0,0,IF(OR(AD320&gt;AE320,AF320&lt;AG320),0,IF(AND(AF320&gt;=AG320,AF320&lt;=AE320),Q320*((AF320-AG320)*12),IF(AND(AG320&lt;=AD320,AE320&gt;=AD320),((AE320-AD320)*12)*Q320,IF(AF320&gt;AE320,12*Q320,0)))))</f>
        <v>1190.1608333331787</v>
      </c>
      <c r="T320" s="286">
        <f t="shared" ref="T320" si="759">IF(S320&gt;0,S320,R320)</f>
        <v>1190.1608333331787</v>
      </c>
      <c r="U320" s="286">
        <v>1</v>
      </c>
      <c r="V320" s="286">
        <f t="shared" ref="V320" si="760">U320*SUM(R320:S320)</f>
        <v>1190.1608333331787</v>
      </c>
      <c r="W320" s="286"/>
      <c r="X320" s="286">
        <f t="shared" ref="X320" si="761">IF(AD320&gt;AE320,0,IF(AF320&lt;AG320,P320,IF(AND(AF320&gt;=AG320,AF320&lt;=AE320),(P320-T320),IF(AND(AG320&lt;=AD320,AE320&gt;=AD320),0,IF(AF320&gt;AE320,((AG320-AD320)*12)*Q320,0)))))</f>
        <v>0</v>
      </c>
      <c r="Y320" s="286">
        <f t="shared" ref="Y320" si="762">X320*U320</f>
        <v>0</v>
      </c>
      <c r="Z320" s="286">
        <v>1</v>
      </c>
      <c r="AA320" s="286">
        <f t="shared" ref="AA320" si="763">Y320*Z320</f>
        <v>0</v>
      </c>
      <c r="AB320" s="286">
        <f t="shared" ref="AB320" si="764">IF(O320&gt;0,0,AA320+V320*Z320)*Z320</f>
        <v>1190.1608333331787</v>
      </c>
      <c r="AC320" s="286">
        <f t="shared" ref="AC320" si="765">IF(O320&gt;0,(N320-AA320)/2,IF(AD320&gt;=AG320,(((N320*U320)*Z320)-AB320)/2,((((N320*U320)*Z320)-AA320)+(((N320*U320)*Z320)-AB320))/2))</f>
        <v>6545.8845833334108</v>
      </c>
      <c r="AD320" s="286">
        <f t="shared" si="606"/>
        <v>2017.4166666666667</v>
      </c>
      <c r="AE320" s="286">
        <f t="shared" si="607"/>
        <v>2018</v>
      </c>
      <c r="AF320" s="286">
        <f t="shared" si="608"/>
        <v>2024.4166666666667</v>
      </c>
      <c r="AG320" s="286">
        <f t="shared" si="609"/>
        <v>2017</v>
      </c>
      <c r="AH320" s="286">
        <f t="shared" si="610"/>
        <v>-8.3333333333333329E-2</v>
      </c>
      <c r="AJ320" s="11">
        <f t="shared" si="611"/>
        <v>0</v>
      </c>
      <c r="AL320" s="11">
        <f t="shared" si="612"/>
        <v>1190.1608333331787</v>
      </c>
      <c r="AN320" s="11">
        <f t="shared" si="613"/>
        <v>0</v>
      </c>
      <c r="AP320" s="11">
        <f t="shared" si="614"/>
        <v>0</v>
      </c>
      <c r="AR320" s="11">
        <f t="shared" si="615"/>
        <v>6545.8845833334108</v>
      </c>
    </row>
    <row r="321" spans="1:44">
      <c r="A321" s="309">
        <v>182595</v>
      </c>
      <c r="C321" s="282">
        <v>660</v>
      </c>
      <c r="D321" s="282" t="s">
        <v>379</v>
      </c>
      <c r="E321" s="282">
        <v>2017</v>
      </c>
      <c r="F321" s="284">
        <v>6</v>
      </c>
      <c r="G321" s="307">
        <v>0</v>
      </c>
      <c r="H321" s="286"/>
      <c r="I321" s="308" t="s">
        <v>86</v>
      </c>
      <c r="J321" s="284">
        <v>7</v>
      </c>
      <c r="K321" s="309">
        <f t="shared" si="721"/>
        <v>2024</v>
      </c>
      <c r="N321" s="285">
        <v>29188.93</v>
      </c>
      <c r="P321" s="286">
        <f t="shared" si="732"/>
        <v>29188.93</v>
      </c>
      <c r="Q321" s="286">
        <f t="shared" si="733"/>
        <v>347.48726190476191</v>
      </c>
      <c r="R321" s="286">
        <f t="shared" ref="R321" si="766">IF(O321&gt;0,0,IF(OR(AD321&gt;AE321,AF321&lt;AG321),0,IF(AND(AF321&gt;=AG321,AF321&lt;=AE321),Q321*((AF321-AG321)*12),IF(AND(AG321&lt;=AD321,AE321&gt;=AD321),((AE321-AD321)*12)*Q321,IF(AF321&gt;AE321,12*Q321,0)))))</f>
        <v>2432.4108333330173</v>
      </c>
      <c r="T321" s="286">
        <f t="shared" ref="T321" si="767">IF(S321&gt;0,S321,R321)</f>
        <v>2432.4108333330173</v>
      </c>
      <c r="U321" s="286">
        <v>1</v>
      </c>
      <c r="V321" s="286">
        <f t="shared" ref="V321" si="768">U321*SUM(R321:S321)</f>
        <v>2432.4108333330173</v>
      </c>
      <c r="W321" s="286"/>
      <c r="X321" s="286">
        <f t="shared" ref="X321" si="769">IF(AD321&gt;AE321,0,IF(AF321&lt;AG321,P321,IF(AND(AF321&gt;=AG321,AF321&lt;=AE321),(P321-T321),IF(AND(AG321&lt;=AD321,AE321&gt;=AD321),0,IF(AF321&gt;AE321,((AG321-AD321)*12)*Q321,0)))))</f>
        <v>0</v>
      </c>
      <c r="Y321" s="286">
        <f t="shared" ref="Y321" si="770">X321*U321</f>
        <v>0</v>
      </c>
      <c r="Z321" s="286">
        <v>1</v>
      </c>
      <c r="AA321" s="286">
        <f t="shared" ref="AA321" si="771">Y321*Z321</f>
        <v>0</v>
      </c>
      <c r="AB321" s="286">
        <f t="shared" ref="AB321" si="772">IF(O321&gt;0,0,AA321+V321*Z321)*Z321</f>
        <v>2432.4108333330173</v>
      </c>
      <c r="AC321" s="286">
        <f t="shared" ref="AC321" si="773">IF(O321&gt;0,(N321-AA321)/2,IF(AD321&gt;=AG321,(((N321*U321)*Z321)-AB321)/2,((((N321*U321)*Z321)-AA321)+(((N321*U321)*Z321)-AB321))/2))</f>
        <v>13378.259583333491</v>
      </c>
      <c r="AD321" s="286">
        <f t="shared" si="606"/>
        <v>2017.4166666666667</v>
      </c>
      <c r="AE321" s="286">
        <f t="shared" si="607"/>
        <v>2018</v>
      </c>
      <c r="AF321" s="286">
        <f t="shared" si="608"/>
        <v>2024.4166666666667</v>
      </c>
      <c r="AG321" s="286">
        <f t="shared" si="609"/>
        <v>2017</v>
      </c>
      <c r="AH321" s="286">
        <f t="shared" si="610"/>
        <v>-8.3333333333333329E-2</v>
      </c>
      <c r="AJ321" s="11">
        <f t="shared" si="611"/>
        <v>0</v>
      </c>
      <c r="AL321" s="11">
        <f t="shared" si="612"/>
        <v>2432.4108333330173</v>
      </c>
      <c r="AN321" s="11">
        <f t="shared" si="613"/>
        <v>0</v>
      </c>
      <c r="AP321" s="11">
        <f t="shared" si="614"/>
        <v>0</v>
      </c>
      <c r="AR321" s="11">
        <f t="shared" si="615"/>
        <v>13378.259583333491</v>
      </c>
    </row>
    <row r="322" spans="1:44">
      <c r="A322" s="282">
        <v>178887</v>
      </c>
      <c r="C322" s="282">
        <v>100</v>
      </c>
      <c r="D322" s="282" t="s">
        <v>380</v>
      </c>
      <c r="E322" s="282">
        <v>2017</v>
      </c>
      <c r="F322" s="284">
        <v>3</v>
      </c>
      <c r="G322" s="284">
        <v>0</v>
      </c>
      <c r="I322" s="284" t="s">
        <v>86</v>
      </c>
      <c r="J322" s="284">
        <v>7</v>
      </c>
      <c r="K322" s="282">
        <f>E322+J322</f>
        <v>2024</v>
      </c>
      <c r="N322" s="285">
        <v>5201</v>
      </c>
      <c r="P322" s="282">
        <f>N322-N322*G322</f>
        <v>5201</v>
      </c>
      <c r="Q322" s="286">
        <f t="shared" ref="Q322" si="774">P322/J322/12</f>
        <v>61.916666666666664</v>
      </c>
      <c r="R322" s="286">
        <f t="shared" ref="R322" si="775">IF(O322&gt;0,0,IF(OR(AD322&gt;AE322,AF322&lt;AG322),0,IF(AND(AF322&gt;=AG322,AF322&lt;=AE322),Q322*((AF322-AG322)*12),IF(AND(AG322&lt;=AD322,AE322&gt;=AD322),((AE322-AD322)*12)*Q322,IF(AF322&gt;AE322,12*Q322,0)))))</f>
        <v>619.16666666661035</v>
      </c>
      <c r="T322" s="286">
        <f t="shared" ref="T322" si="776">IF(S322&gt;0,S322,R322)</f>
        <v>619.16666666661035</v>
      </c>
      <c r="U322" s="286">
        <v>1</v>
      </c>
      <c r="V322" s="286">
        <f t="shared" ref="V322" si="777">U322*SUM(R322:S322)</f>
        <v>619.16666666661035</v>
      </c>
      <c r="W322" s="286"/>
      <c r="X322" s="286">
        <f t="shared" ref="X322" si="778">IF(AD322&gt;AE322,0,IF(AF322&lt;AG322,P322,IF(AND(AF322&gt;=AG322,AF322&lt;=AE322),(P322-T322),IF(AND(AG322&lt;=AD322,AE322&gt;=AD322),0,IF(AF322&gt;AE322,((AG322-AD322)*12)*Q322,0)))))</f>
        <v>0</v>
      </c>
      <c r="Y322" s="286">
        <f t="shared" ref="Y322" si="779">X322*U322</f>
        <v>0</v>
      </c>
      <c r="Z322" s="286">
        <v>1</v>
      </c>
      <c r="AA322" s="286">
        <f t="shared" ref="AA322" si="780">Y322*Z322</f>
        <v>0</v>
      </c>
      <c r="AB322" s="286">
        <f t="shared" ref="AB322" si="781">IF(O322&gt;0,0,AA322+V322*Z322)*Z322</f>
        <v>619.16666666661035</v>
      </c>
      <c r="AC322" s="286">
        <f t="shared" ref="AC322" si="782">IF(O322&gt;0,(N322-AA322)/2,IF(AD322&gt;=AG322,(((N322*U322)*Z322)-AB322)/2,((((N322*U322)*Z322)-AA322)+(((N322*U322)*Z322)-AB322))/2))</f>
        <v>2290.9166666666947</v>
      </c>
      <c r="AD322" s="286">
        <f>$E322+(($F322-1)/12)</f>
        <v>2017.1666666666667</v>
      </c>
      <c r="AE322" s="286">
        <f t="shared" ref="AE322:AE360" si="783">($P$5+1)-($P$2/12)</f>
        <v>2018</v>
      </c>
      <c r="AF322" s="286">
        <f>$K322+(($F322-1)/12)</f>
        <v>2024.1666666666667</v>
      </c>
      <c r="AG322" s="286">
        <f t="shared" ref="AG322:AG360" si="784">$P$4+($P$3/12)</f>
        <v>2017</v>
      </c>
      <c r="AH322" s="286">
        <f>$L322+(($M322-1)/12)</f>
        <v>-8.3333333333333329E-2</v>
      </c>
      <c r="AJ322" s="11">
        <f t="shared" si="611"/>
        <v>0</v>
      </c>
      <c r="AL322" s="11">
        <f t="shared" si="612"/>
        <v>619.16666666661035</v>
      </c>
      <c r="AN322" s="11">
        <f t="shared" si="613"/>
        <v>0</v>
      </c>
      <c r="AP322" s="11">
        <f t="shared" si="614"/>
        <v>0</v>
      </c>
      <c r="AR322" s="11">
        <f t="shared" si="615"/>
        <v>2290.9166666666947</v>
      </c>
    </row>
    <row r="323" spans="1:44">
      <c r="D323" s="331"/>
      <c r="G323" s="307"/>
      <c r="H323" s="286"/>
      <c r="I323" s="308"/>
      <c r="K323" s="309"/>
      <c r="P323" s="286"/>
      <c r="Q323" s="286"/>
      <c r="R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</row>
    <row r="324" spans="1:44">
      <c r="C324" s="311">
        <f>SUM(C281:C323)</f>
        <v>14078</v>
      </c>
      <c r="D324" s="311" t="s">
        <v>25</v>
      </c>
      <c r="H324" s="286"/>
      <c r="I324" s="308"/>
      <c r="K324" s="309"/>
      <c r="N324" s="319">
        <f>SUM(N281:N323)</f>
        <v>606241.04913043487</v>
      </c>
      <c r="O324" s="327"/>
      <c r="P324" s="315">
        <f>SUM(P281:P323)</f>
        <v>606241.04913043487</v>
      </c>
      <c r="Q324" s="315">
        <f>SUM(Q281:Q323)</f>
        <v>7217.1553467908916</v>
      </c>
      <c r="R324" s="315">
        <f>SUM(R281:R323)</f>
        <v>53945.490714283944</v>
      </c>
      <c r="S324" s="315"/>
      <c r="T324" s="315"/>
      <c r="U324" s="315"/>
      <c r="V324" s="315">
        <f>SUM(V281:V323)</f>
        <v>53945.490714283944</v>
      </c>
      <c r="W324" s="315"/>
      <c r="X324" s="315"/>
      <c r="Y324" s="315"/>
      <c r="Z324" s="315"/>
      <c r="AA324" s="315">
        <f>SUM(AA281:AA323)</f>
        <v>222795.89674948287</v>
      </c>
      <c r="AB324" s="315">
        <f>SUM(AB281:AB323)</f>
        <v>276741.38746376685</v>
      </c>
      <c r="AC324" s="315">
        <f>SUM(AC281:AC323)</f>
        <v>277144.86702380987</v>
      </c>
      <c r="AD324" s="323"/>
      <c r="AE324" s="323"/>
      <c r="AF324" s="323"/>
      <c r="AG324" s="323"/>
      <c r="AH324" s="323"/>
      <c r="AJ324" s="7">
        <f t="shared" ref="AJ324:AR324" si="785">SUM(AJ281:AJ323)</f>
        <v>0</v>
      </c>
      <c r="AK324" s="7">
        <f t="shared" si="785"/>
        <v>0</v>
      </c>
      <c r="AL324" s="7">
        <f t="shared" si="785"/>
        <v>53945.490714283944</v>
      </c>
      <c r="AM324" s="7">
        <f t="shared" si="785"/>
        <v>0</v>
      </c>
      <c r="AN324" s="7">
        <f t="shared" si="785"/>
        <v>0</v>
      </c>
      <c r="AO324" s="7">
        <f t="shared" si="785"/>
        <v>0</v>
      </c>
      <c r="AP324" s="7">
        <f t="shared" si="785"/>
        <v>0</v>
      </c>
      <c r="AQ324" s="7">
        <f t="shared" si="785"/>
        <v>0</v>
      </c>
      <c r="AR324" s="7">
        <f t="shared" si="785"/>
        <v>277144.86702380987</v>
      </c>
    </row>
    <row r="325" spans="1:44">
      <c r="C325" s="311"/>
      <c r="D325" s="311"/>
      <c r="H325" s="286"/>
      <c r="I325" s="308"/>
      <c r="K325" s="309"/>
      <c r="N325" s="330"/>
      <c r="P325" s="317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  <c r="AA325" s="317"/>
      <c r="AB325" s="317"/>
      <c r="AC325" s="317"/>
      <c r="AD325" s="286"/>
      <c r="AE325" s="286"/>
      <c r="AF325" s="286"/>
      <c r="AG325" s="286"/>
      <c r="AH325" s="286"/>
    </row>
    <row r="326" spans="1:44">
      <c r="C326" s="311"/>
      <c r="D326" s="311" t="s">
        <v>214</v>
      </c>
      <c r="H326" s="286"/>
      <c r="I326" s="308"/>
      <c r="K326" s="309"/>
      <c r="N326" s="330"/>
      <c r="P326" s="317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  <c r="AA326" s="317"/>
      <c r="AB326" s="317"/>
      <c r="AC326" s="317"/>
      <c r="AD326" s="286"/>
      <c r="AE326" s="286"/>
      <c r="AF326" s="286"/>
      <c r="AG326" s="286"/>
      <c r="AH326" s="286"/>
    </row>
    <row r="327" spans="1:44">
      <c r="C327" s="282">
        <v>300</v>
      </c>
      <c r="D327" s="282" t="s">
        <v>208</v>
      </c>
      <c r="E327" s="282">
        <v>2007</v>
      </c>
      <c r="F327" s="284">
        <v>10</v>
      </c>
      <c r="G327" s="307">
        <v>0</v>
      </c>
      <c r="H327" s="286"/>
      <c r="I327" s="308" t="s">
        <v>86</v>
      </c>
      <c r="J327" s="284">
        <v>7</v>
      </c>
      <c r="K327" s="309">
        <f t="shared" ref="K327:K335" si="786">E327+J327</f>
        <v>2014</v>
      </c>
      <c r="N327" s="285">
        <f>(35190+3103.37+2200)/828*300</f>
        <v>14671.510869565218</v>
      </c>
      <c r="P327" s="286">
        <f t="shared" ref="P327:P335" si="787">N327-N327*G327</f>
        <v>14671.510869565218</v>
      </c>
      <c r="Q327" s="286">
        <f t="shared" ref="Q327:Q335" si="788">P327/J327/12</f>
        <v>174.66084368530019</v>
      </c>
      <c r="R327" s="286">
        <f>IF(O327&gt;0,0,IF(OR(AD327&gt;AE327,AF327&lt;AG327),0,IF(AND(AF327&gt;=AG327,AF327&lt;=AE327),Q327*((AF327-AG327)*12),IF(AND(AG327&lt;=AD327,AE327&gt;=AD327),((AE327-AD327)*12)*Q327,IF(AF327&gt;AE327,12*Q327,0)))))</f>
        <v>0</v>
      </c>
      <c r="T327" s="286">
        <f t="shared" ref="T327:T334" si="789">IF(S327&gt;0,S327,R327)</f>
        <v>0</v>
      </c>
      <c r="U327" s="286">
        <v>1</v>
      </c>
      <c r="V327" s="286">
        <f t="shared" ref="V327:V334" si="790">U327*SUM(R327:S327)</f>
        <v>0</v>
      </c>
      <c r="W327" s="286"/>
      <c r="X327" s="286">
        <f t="shared" ref="X327:X334" si="791">IF(AD327&gt;AE327,0,IF(AF327&lt;AG327,P327,IF(AND(AF327&gt;=AG327,AF327&lt;=AE327),(P327-T327),IF(AND(AG327&lt;=AD327,AE327&gt;=AD327),0,IF(AF327&gt;AE327,((AG327-AD327)*12)*Q327,0)))))</f>
        <v>14671.510869565218</v>
      </c>
      <c r="Y327" s="286">
        <f t="shared" ref="Y327:Y334" si="792">X327*U327</f>
        <v>14671.510869565218</v>
      </c>
      <c r="Z327" s="286">
        <v>1</v>
      </c>
      <c r="AA327" s="286">
        <f t="shared" ref="AA327:AA334" si="793">Y327*Z327</f>
        <v>14671.510869565218</v>
      </c>
      <c r="AB327" s="286">
        <f t="shared" ref="AB327:AB334" si="794">IF(O327&gt;0,0,AA327+V327*Z327)*Z327</f>
        <v>14671.510869565218</v>
      </c>
      <c r="AC327" s="286">
        <f t="shared" ref="AC327:AC334" si="795">IF(O327&gt;0,(N327-AA327)/2,IF(AD327&gt;=AG327,(((N327*U327)*Z327)-AB327)/2,((((N327*U327)*Z327)-AA327)+(((N327*U327)*Z327)-AB327))/2))</f>
        <v>0</v>
      </c>
      <c r="AD327" s="286">
        <f t="shared" ref="AD327:AD336" si="796">$E327+(($F327-1)/12)</f>
        <v>2007.75</v>
      </c>
      <c r="AE327" s="286">
        <f t="shared" si="783"/>
        <v>2018</v>
      </c>
      <c r="AF327" s="286">
        <f t="shared" ref="AF327:AF336" si="797">$K327+(($F327-1)/12)</f>
        <v>2014.75</v>
      </c>
      <c r="AG327" s="286">
        <f t="shared" si="784"/>
        <v>2017</v>
      </c>
      <c r="AH327" s="286">
        <f t="shared" ref="AH327:AH336" si="798">$L327+(($M327-1)/12)</f>
        <v>-8.3333333333333329E-2</v>
      </c>
      <c r="AJ327" s="11">
        <f t="shared" ref="AJ327:AJ337" si="799">+IF((AF327-AG327)&gt;3,((N327-P327)/(AF327-AG327)),(N327-P327)/3)</f>
        <v>0</v>
      </c>
      <c r="AL327" s="11">
        <f t="shared" ref="AL327:AL337" si="800">+AJ327+R327</f>
        <v>0</v>
      </c>
      <c r="AN327" s="11">
        <f t="shared" ref="AN327:AN337" si="801">+IF(AF327&lt;AG327,-AC327,0)</f>
        <v>0</v>
      </c>
      <c r="AP327" s="11">
        <f t="shared" ref="AP327:AP337" si="802">+IF(AF327&gt;AG327,IF(AJ327&gt;0,IF(O327&gt;0,(N327-AA327)/2,IF(AD327&gt;=AG327,(((N327*U327)*Z327)-(AB327+AJ327))/2,((((N327*U327)*Z327)-AA327)+(((N327*U327)*Z327)-(AB327+AJ327)))/2)),0),0)</f>
        <v>0</v>
      </c>
      <c r="AR327" s="11">
        <f t="shared" ref="AR327:AR337" si="803">+AC327+AN327+(IF(AP327&gt;0,(AP327-AC327),0))</f>
        <v>0</v>
      </c>
    </row>
    <row r="328" spans="1:44">
      <c r="C328" s="282">
        <v>100</v>
      </c>
      <c r="D328" s="282" t="s">
        <v>208</v>
      </c>
      <c r="E328" s="282">
        <v>2008</v>
      </c>
      <c r="F328" s="284">
        <v>7</v>
      </c>
      <c r="G328" s="307">
        <v>0</v>
      </c>
      <c r="H328" s="286"/>
      <c r="I328" s="308" t="s">
        <v>86</v>
      </c>
      <c r="J328" s="284">
        <v>7</v>
      </c>
      <c r="K328" s="309">
        <f t="shared" si="786"/>
        <v>2015</v>
      </c>
      <c r="N328" s="285">
        <v>6087</v>
      </c>
      <c r="P328" s="286">
        <f t="shared" si="787"/>
        <v>6087</v>
      </c>
      <c r="Q328" s="286">
        <f t="shared" si="788"/>
        <v>72.464285714285708</v>
      </c>
      <c r="R328" s="286">
        <f>IF(O328&gt;0,0,IF(OR(AD328&gt;AE328,AF328&lt;AG328),0,IF(AND(AF328&gt;=AG328,AF328&lt;=AE328),Q328*((AF328-AG328)*12),IF(AND(AG328&lt;=AD328,AE328&gt;=AD328),((AE328-AD328)*12)*Q328,IF(AF328&gt;AE328,12*Q328,0)))))</f>
        <v>0</v>
      </c>
      <c r="T328" s="286">
        <f t="shared" si="789"/>
        <v>0</v>
      </c>
      <c r="U328" s="286">
        <v>1</v>
      </c>
      <c r="V328" s="286">
        <f t="shared" si="790"/>
        <v>0</v>
      </c>
      <c r="W328" s="286"/>
      <c r="X328" s="286">
        <f t="shared" si="791"/>
        <v>6087</v>
      </c>
      <c r="Y328" s="286">
        <f t="shared" si="792"/>
        <v>6087</v>
      </c>
      <c r="Z328" s="286">
        <v>1</v>
      </c>
      <c r="AA328" s="286">
        <f t="shared" si="793"/>
        <v>6087</v>
      </c>
      <c r="AB328" s="286">
        <f t="shared" si="794"/>
        <v>6087</v>
      </c>
      <c r="AC328" s="286">
        <f t="shared" si="795"/>
        <v>0</v>
      </c>
      <c r="AD328" s="286">
        <f t="shared" si="796"/>
        <v>2008.5</v>
      </c>
      <c r="AE328" s="286">
        <f t="shared" si="783"/>
        <v>2018</v>
      </c>
      <c r="AF328" s="286">
        <f t="shared" si="797"/>
        <v>2015.5</v>
      </c>
      <c r="AG328" s="286">
        <f t="shared" si="784"/>
        <v>2017</v>
      </c>
      <c r="AH328" s="286">
        <f t="shared" si="798"/>
        <v>-8.3333333333333329E-2</v>
      </c>
      <c r="AJ328" s="11">
        <f t="shared" si="799"/>
        <v>0</v>
      </c>
      <c r="AL328" s="11">
        <f t="shared" si="800"/>
        <v>0</v>
      </c>
      <c r="AN328" s="11">
        <f t="shared" si="801"/>
        <v>0</v>
      </c>
      <c r="AP328" s="11">
        <f t="shared" si="802"/>
        <v>0</v>
      </c>
      <c r="AR328" s="11">
        <f t="shared" si="803"/>
        <v>0</v>
      </c>
    </row>
    <row r="329" spans="1:44">
      <c r="C329" s="282">
        <v>10500</v>
      </c>
      <c r="D329" s="282" t="s">
        <v>209</v>
      </c>
      <c r="E329" s="282">
        <v>2009</v>
      </c>
      <c r="F329" s="284">
        <v>7</v>
      </c>
      <c r="G329" s="307">
        <v>0</v>
      </c>
      <c r="H329" s="286"/>
      <c r="I329" s="308" t="s">
        <v>86</v>
      </c>
      <c r="J329" s="284">
        <v>10</v>
      </c>
      <c r="K329" s="309">
        <f t="shared" si="786"/>
        <v>2019</v>
      </c>
      <c r="N329" s="285">
        <v>477576</v>
      </c>
      <c r="P329" s="286">
        <f t="shared" si="787"/>
        <v>477576</v>
      </c>
      <c r="Q329" s="286">
        <f t="shared" si="788"/>
        <v>3979.7999999999997</v>
      </c>
      <c r="R329" s="286">
        <f>IF(O329&gt;0,0,IF(OR(AD329&gt;AE329,AF329&lt;AG329),0,IF(AND(AF329&gt;=AG329,AF329&lt;=AE329),Q329*((AF329-AG329)*12),IF(AND(AG329&lt;=AD329,AE329&gt;=AD329),((AE329-AD329)*12)*Q329,IF(AF329&gt;AE329,12*Q329,0)))))</f>
        <v>47757.599999999999</v>
      </c>
      <c r="T329" s="286">
        <f t="shared" si="789"/>
        <v>47757.599999999999</v>
      </c>
      <c r="U329" s="286">
        <v>1</v>
      </c>
      <c r="V329" s="286">
        <f t="shared" si="790"/>
        <v>47757.599999999999</v>
      </c>
      <c r="W329" s="286"/>
      <c r="X329" s="286">
        <f t="shared" si="791"/>
        <v>358182</v>
      </c>
      <c r="Y329" s="286">
        <f t="shared" si="792"/>
        <v>358182</v>
      </c>
      <c r="Z329" s="286">
        <v>1</v>
      </c>
      <c r="AA329" s="286">
        <f t="shared" si="793"/>
        <v>358182</v>
      </c>
      <c r="AB329" s="286">
        <f t="shared" si="794"/>
        <v>405939.6</v>
      </c>
      <c r="AC329" s="286">
        <f t="shared" si="795"/>
        <v>95515.200000000012</v>
      </c>
      <c r="AD329" s="286">
        <f t="shared" si="796"/>
        <v>2009.5</v>
      </c>
      <c r="AE329" s="286">
        <f t="shared" si="783"/>
        <v>2018</v>
      </c>
      <c r="AF329" s="286">
        <f t="shared" si="797"/>
        <v>2019.5</v>
      </c>
      <c r="AG329" s="286">
        <f t="shared" si="784"/>
        <v>2017</v>
      </c>
      <c r="AH329" s="286">
        <f t="shared" si="798"/>
        <v>-8.3333333333333329E-2</v>
      </c>
      <c r="AJ329" s="11">
        <f t="shared" si="799"/>
        <v>0</v>
      </c>
      <c r="AL329" s="11">
        <f t="shared" si="800"/>
        <v>47757.599999999999</v>
      </c>
      <c r="AN329" s="11">
        <f t="shared" si="801"/>
        <v>0</v>
      </c>
      <c r="AP329" s="11">
        <f t="shared" si="802"/>
        <v>0</v>
      </c>
      <c r="AR329" s="11">
        <f t="shared" si="803"/>
        <v>95515.200000000012</v>
      </c>
    </row>
    <row r="330" spans="1:44">
      <c r="C330" s="282">
        <v>500</v>
      </c>
      <c r="D330" s="282" t="s">
        <v>215</v>
      </c>
      <c r="E330" s="282">
        <v>2009</v>
      </c>
      <c r="F330" s="284">
        <v>7</v>
      </c>
      <c r="G330" s="307">
        <v>0</v>
      </c>
      <c r="H330" s="286"/>
      <c r="I330" s="308" t="s">
        <v>86</v>
      </c>
      <c r="J330" s="284">
        <v>10</v>
      </c>
      <c r="K330" s="309">
        <f t="shared" si="786"/>
        <v>2019</v>
      </c>
      <c r="N330" s="285">
        <v>22742</v>
      </c>
      <c r="P330" s="286">
        <f t="shared" si="787"/>
        <v>22742</v>
      </c>
      <c r="Q330" s="286">
        <f t="shared" si="788"/>
        <v>189.51666666666665</v>
      </c>
      <c r="R330" s="286">
        <f>IF(O330&gt;0,0,IF(OR(AD330&gt;AE330,AF330&lt;AG330),0,IF(AND(AF330&gt;=AG330,AF330&lt;=AE330),Q330*((AF330-AG330)*12),IF(AND(AG330&lt;=AD330,AE330&gt;=AD330),((AE330-AD330)*12)*Q330,IF(AF330&gt;AE330,12*Q330,0)))))</f>
        <v>2274.1999999999998</v>
      </c>
      <c r="T330" s="286">
        <f t="shared" si="789"/>
        <v>2274.1999999999998</v>
      </c>
      <c r="U330" s="286">
        <v>1</v>
      </c>
      <c r="V330" s="286">
        <f t="shared" si="790"/>
        <v>2274.1999999999998</v>
      </c>
      <c r="W330" s="286"/>
      <c r="X330" s="286">
        <f t="shared" si="791"/>
        <v>17056.5</v>
      </c>
      <c r="Y330" s="286">
        <f t="shared" si="792"/>
        <v>17056.5</v>
      </c>
      <c r="Z330" s="286">
        <v>1</v>
      </c>
      <c r="AA330" s="286">
        <f t="shared" si="793"/>
        <v>17056.5</v>
      </c>
      <c r="AB330" s="286">
        <f t="shared" si="794"/>
        <v>19330.7</v>
      </c>
      <c r="AC330" s="286">
        <f t="shared" si="795"/>
        <v>4548.3999999999996</v>
      </c>
      <c r="AD330" s="286">
        <f t="shared" si="796"/>
        <v>2009.5</v>
      </c>
      <c r="AE330" s="286">
        <f t="shared" si="783"/>
        <v>2018</v>
      </c>
      <c r="AF330" s="286">
        <f t="shared" si="797"/>
        <v>2019.5</v>
      </c>
      <c r="AG330" s="286">
        <f t="shared" si="784"/>
        <v>2017</v>
      </c>
      <c r="AH330" s="286">
        <f t="shared" si="798"/>
        <v>-8.3333333333333329E-2</v>
      </c>
      <c r="AJ330" s="11">
        <f t="shared" si="799"/>
        <v>0</v>
      </c>
      <c r="AL330" s="11">
        <f t="shared" si="800"/>
        <v>2274.1999999999998</v>
      </c>
      <c r="AN330" s="11">
        <f t="shared" si="801"/>
        <v>0</v>
      </c>
      <c r="AP330" s="11">
        <f t="shared" si="802"/>
        <v>0</v>
      </c>
      <c r="AR330" s="11">
        <f t="shared" si="803"/>
        <v>4548.3999999999996</v>
      </c>
    </row>
    <row r="331" spans="1:44">
      <c r="A331" s="282">
        <v>109630</v>
      </c>
      <c r="C331" s="282">
        <v>100</v>
      </c>
      <c r="D331" s="282" t="s">
        <v>310</v>
      </c>
      <c r="E331" s="282">
        <v>2013</v>
      </c>
      <c r="F331" s="284">
        <v>6</v>
      </c>
      <c r="G331" s="307">
        <v>0</v>
      </c>
      <c r="H331" s="286"/>
      <c r="I331" s="308" t="s">
        <v>86</v>
      </c>
      <c r="J331" s="284">
        <v>10</v>
      </c>
      <c r="K331" s="309">
        <f t="shared" si="786"/>
        <v>2023</v>
      </c>
      <c r="N331" s="285">
        <v>7104.58</v>
      </c>
      <c r="P331" s="286">
        <f t="shared" si="787"/>
        <v>7104.58</v>
      </c>
      <c r="Q331" s="286">
        <f t="shared" si="788"/>
        <v>59.204833333333333</v>
      </c>
      <c r="R331" s="286">
        <f>IF(O331&gt;0,0,IF(OR(AD331&gt;AE331,AF331&lt;AG331),0,IF(AND(AF331&gt;=AG331,AF331&lt;=AE331),Q331*((AF331-AG331)*12),IF(AND(AG331&lt;=AD331,AE331&gt;=AD331),((AE331-AD331)*12)*Q331,IF(AF331&gt;AE331,12*Q331,0)))))</f>
        <v>710.45799999999997</v>
      </c>
      <c r="T331" s="286">
        <f t="shared" si="789"/>
        <v>710.45799999999997</v>
      </c>
      <c r="U331" s="286">
        <v>1</v>
      </c>
      <c r="V331" s="286">
        <f t="shared" si="790"/>
        <v>710.45799999999997</v>
      </c>
      <c r="W331" s="286"/>
      <c r="X331" s="286">
        <f t="shared" si="791"/>
        <v>2545.8078333332796</v>
      </c>
      <c r="Y331" s="286">
        <f t="shared" si="792"/>
        <v>2545.8078333332796</v>
      </c>
      <c r="Z331" s="286">
        <v>1</v>
      </c>
      <c r="AA331" s="286">
        <f t="shared" si="793"/>
        <v>2545.8078333332796</v>
      </c>
      <c r="AB331" s="286">
        <f t="shared" si="794"/>
        <v>3256.2658333332797</v>
      </c>
      <c r="AC331" s="286">
        <f t="shared" si="795"/>
        <v>4203.54316666672</v>
      </c>
      <c r="AD331" s="286">
        <f t="shared" si="796"/>
        <v>2013.4166666666667</v>
      </c>
      <c r="AE331" s="286">
        <f t="shared" si="783"/>
        <v>2018</v>
      </c>
      <c r="AF331" s="286">
        <f t="shared" si="797"/>
        <v>2023.4166666666667</v>
      </c>
      <c r="AG331" s="286">
        <f t="shared" si="784"/>
        <v>2017</v>
      </c>
      <c r="AH331" s="286">
        <f t="shared" si="798"/>
        <v>-8.3333333333333329E-2</v>
      </c>
      <c r="AJ331" s="11">
        <f t="shared" si="799"/>
        <v>0</v>
      </c>
      <c r="AL331" s="11">
        <f t="shared" si="800"/>
        <v>710.45799999999997</v>
      </c>
      <c r="AN331" s="11">
        <f t="shared" si="801"/>
        <v>0</v>
      </c>
      <c r="AP331" s="11">
        <f t="shared" si="802"/>
        <v>0</v>
      </c>
      <c r="AR331" s="11">
        <f t="shared" si="803"/>
        <v>4203.54316666672</v>
      </c>
    </row>
    <row r="332" spans="1:44">
      <c r="A332" s="282">
        <v>111169</v>
      </c>
      <c r="D332" s="282" t="s">
        <v>312</v>
      </c>
      <c r="E332" s="282">
        <v>2014</v>
      </c>
      <c r="F332" s="284">
        <v>1</v>
      </c>
      <c r="G332" s="307">
        <v>0</v>
      </c>
      <c r="H332" s="286"/>
      <c r="I332" s="308" t="s">
        <v>86</v>
      </c>
      <c r="J332" s="284">
        <v>10</v>
      </c>
      <c r="K332" s="309">
        <f t="shared" si="786"/>
        <v>2024</v>
      </c>
      <c r="N332" s="285">
        <v>2369.64</v>
      </c>
      <c r="P332" s="286">
        <f t="shared" si="787"/>
        <v>2369.64</v>
      </c>
      <c r="Q332" s="286">
        <f t="shared" si="788"/>
        <v>19.747</v>
      </c>
      <c r="R332" s="286">
        <f t="shared" ref="R332:R334" si="804">IF(O332&gt;0,0,IF(OR(AD332&gt;AE332,AF332&lt;AG332),0,IF(AND(AF332&gt;=AG332,AF332&lt;=AE332),Q332*((AF332-AG332)*12),IF(AND(AG332&lt;=AD332,AE332&gt;=AD332),((AE332-AD332)*12)*Q332,IF(AF332&gt;AE332,12*Q332,0)))))</f>
        <v>236.964</v>
      </c>
      <c r="T332" s="286">
        <f t="shared" si="789"/>
        <v>236.964</v>
      </c>
      <c r="U332" s="286">
        <v>1</v>
      </c>
      <c r="V332" s="286">
        <f t="shared" si="790"/>
        <v>236.964</v>
      </c>
      <c r="W332" s="286"/>
      <c r="X332" s="286">
        <f t="shared" si="791"/>
        <v>710.89200000000005</v>
      </c>
      <c r="Y332" s="286">
        <f t="shared" si="792"/>
        <v>710.89200000000005</v>
      </c>
      <c r="Z332" s="286">
        <v>1</v>
      </c>
      <c r="AA332" s="286">
        <f t="shared" si="793"/>
        <v>710.89200000000005</v>
      </c>
      <c r="AB332" s="286">
        <f t="shared" si="794"/>
        <v>947.85599999999999</v>
      </c>
      <c r="AC332" s="286">
        <f t="shared" si="795"/>
        <v>1540.2659999999998</v>
      </c>
      <c r="AD332" s="286">
        <f t="shared" si="796"/>
        <v>2014</v>
      </c>
      <c r="AE332" s="286">
        <f t="shared" si="783"/>
        <v>2018</v>
      </c>
      <c r="AF332" s="286">
        <f t="shared" si="797"/>
        <v>2024</v>
      </c>
      <c r="AG332" s="286">
        <f t="shared" si="784"/>
        <v>2017</v>
      </c>
      <c r="AH332" s="286">
        <f t="shared" si="798"/>
        <v>-8.3333333333333329E-2</v>
      </c>
      <c r="AJ332" s="11">
        <f t="shared" si="799"/>
        <v>0</v>
      </c>
      <c r="AL332" s="11">
        <f t="shared" si="800"/>
        <v>236.964</v>
      </c>
      <c r="AN332" s="11">
        <f t="shared" si="801"/>
        <v>0</v>
      </c>
      <c r="AP332" s="11">
        <f t="shared" si="802"/>
        <v>0</v>
      </c>
      <c r="AR332" s="11">
        <f t="shared" si="803"/>
        <v>1540.2659999999998</v>
      </c>
    </row>
    <row r="333" spans="1:44">
      <c r="A333" s="282">
        <v>111445</v>
      </c>
      <c r="C333" s="282">
        <v>624</v>
      </c>
      <c r="D333" s="282" t="s">
        <v>209</v>
      </c>
      <c r="E333" s="282">
        <v>2014</v>
      </c>
      <c r="F333" s="284">
        <v>3</v>
      </c>
      <c r="G333" s="307">
        <v>0</v>
      </c>
      <c r="H333" s="286"/>
      <c r="I333" s="308" t="s">
        <v>86</v>
      </c>
      <c r="J333" s="284">
        <v>10</v>
      </c>
      <c r="K333" s="309">
        <f t="shared" si="786"/>
        <v>2024</v>
      </c>
      <c r="N333" s="285">
        <v>36065.919999999998</v>
      </c>
      <c r="P333" s="286">
        <f t="shared" si="787"/>
        <v>36065.919999999998</v>
      </c>
      <c r="Q333" s="286">
        <f t="shared" si="788"/>
        <v>300.54933333333332</v>
      </c>
      <c r="R333" s="286">
        <f t="shared" si="804"/>
        <v>3606.5919999999996</v>
      </c>
      <c r="T333" s="286">
        <f t="shared" si="789"/>
        <v>3606.5919999999996</v>
      </c>
      <c r="U333" s="286">
        <v>1</v>
      </c>
      <c r="V333" s="286">
        <f t="shared" si="790"/>
        <v>3606.5919999999996</v>
      </c>
      <c r="W333" s="286"/>
      <c r="X333" s="286">
        <f t="shared" si="791"/>
        <v>10218.67733333306</v>
      </c>
      <c r="Y333" s="286">
        <f t="shared" si="792"/>
        <v>10218.67733333306</v>
      </c>
      <c r="Z333" s="286">
        <v>1</v>
      </c>
      <c r="AA333" s="286">
        <f t="shared" si="793"/>
        <v>10218.67733333306</v>
      </c>
      <c r="AB333" s="286">
        <f t="shared" si="794"/>
        <v>13825.269333333061</v>
      </c>
      <c r="AC333" s="286">
        <f t="shared" si="795"/>
        <v>24043.94666666694</v>
      </c>
      <c r="AD333" s="286">
        <f t="shared" si="796"/>
        <v>2014.1666666666667</v>
      </c>
      <c r="AE333" s="286">
        <f t="shared" si="783"/>
        <v>2018</v>
      </c>
      <c r="AF333" s="286">
        <f t="shared" si="797"/>
        <v>2024.1666666666667</v>
      </c>
      <c r="AG333" s="286">
        <f t="shared" si="784"/>
        <v>2017</v>
      </c>
      <c r="AH333" s="286">
        <f t="shared" si="798"/>
        <v>-8.3333333333333329E-2</v>
      </c>
      <c r="AJ333" s="11">
        <f t="shared" si="799"/>
        <v>0</v>
      </c>
      <c r="AL333" s="11">
        <f t="shared" si="800"/>
        <v>3606.5919999999996</v>
      </c>
      <c r="AN333" s="11">
        <f t="shared" si="801"/>
        <v>0</v>
      </c>
      <c r="AP333" s="11">
        <f t="shared" si="802"/>
        <v>0</v>
      </c>
      <c r="AR333" s="11">
        <f t="shared" si="803"/>
        <v>24043.94666666694</v>
      </c>
    </row>
    <row r="334" spans="1:44">
      <c r="A334" s="282">
        <v>121097</v>
      </c>
      <c r="C334" s="282">
        <v>420</v>
      </c>
      <c r="D334" s="282" t="s">
        <v>209</v>
      </c>
      <c r="E334" s="282">
        <v>2015</v>
      </c>
      <c r="F334" s="284">
        <v>3</v>
      </c>
      <c r="G334" s="307">
        <v>0</v>
      </c>
      <c r="H334" s="286"/>
      <c r="I334" s="308" t="s">
        <v>86</v>
      </c>
      <c r="J334" s="284">
        <v>10</v>
      </c>
      <c r="K334" s="309">
        <f t="shared" si="786"/>
        <v>2025</v>
      </c>
      <c r="N334" s="285">
        <v>22395.5</v>
      </c>
      <c r="P334" s="286">
        <f t="shared" si="787"/>
        <v>22395.5</v>
      </c>
      <c r="Q334" s="286">
        <f t="shared" si="788"/>
        <v>186.62916666666669</v>
      </c>
      <c r="R334" s="286">
        <f t="shared" si="804"/>
        <v>2239.5500000000002</v>
      </c>
      <c r="T334" s="286">
        <f t="shared" si="789"/>
        <v>2239.5500000000002</v>
      </c>
      <c r="U334" s="286">
        <v>1</v>
      </c>
      <c r="V334" s="286">
        <f t="shared" si="790"/>
        <v>2239.5500000000002</v>
      </c>
      <c r="W334" s="286"/>
      <c r="X334" s="286">
        <f t="shared" si="791"/>
        <v>4105.8416666664971</v>
      </c>
      <c r="Y334" s="286">
        <f t="shared" si="792"/>
        <v>4105.8416666664971</v>
      </c>
      <c r="Z334" s="286">
        <v>1</v>
      </c>
      <c r="AA334" s="286">
        <f t="shared" si="793"/>
        <v>4105.8416666664971</v>
      </c>
      <c r="AB334" s="286">
        <f t="shared" si="794"/>
        <v>6345.3916666664973</v>
      </c>
      <c r="AC334" s="286">
        <f t="shared" si="795"/>
        <v>17169.883333333502</v>
      </c>
      <c r="AD334" s="286">
        <f t="shared" si="796"/>
        <v>2015.1666666666667</v>
      </c>
      <c r="AE334" s="286">
        <f t="shared" si="783"/>
        <v>2018</v>
      </c>
      <c r="AF334" s="286">
        <f t="shared" si="797"/>
        <v>2025.1666666666667</v>
      </c>
      <c r="AG334" s="286">
        <f t="shared" si="784"/>
        <v>2017</v>
      </c>
      <c r="AH334" s="286">
        <f t="shared" si="798"/>
        <v>-8.3333333333333329E-2</v>
      </c>
      <c r="AJ334" s="11">
        <f t="shared" si="799"/>
        <v>0</v>
      </c>
      <c r="AL334" s="11">
        <f t="shared" si="800"/>
        <v>2239.5500000000002</v>
      </c>
      <c r="AN334" s="11">
        <f t="shared" si="801"/>
        <v>0</v>
      </c>
      <c r="AP334" s="11">
        <f t="shared" si="802"/>
        <v>0</v>
      </c>
      <c r="AR334" s="11">
        <f t="shared" si="803"/>
        <v>17169.883333333502</v>
      </c>
    </row>
    <row r="335" spans="1:44">
      <c r="A335" s="282">
        <v>131196</v>
      </c>
      <c r="C335" s="282">
        <v>624</v>
      </c>
      <c r="D335" s="282" t="s">
        <v>209</v>
      </c>
      <c r="E335" s="282">
        <v>2016</v>
      </c>
      <c r="F335" s="284">
        <v>2</v>
      </c>
      <c r="G335" s="307">
        <v>0</v>
      </c>
      <c r="H335" s="286"/>
      <c r="I335" s="308" t="s">
        <v>86</v>
      </c>
      <c r="J335" s="284">
        <v>10</v>
      </c>
      <c r="K335" s="309">
        <f t="shared" si="786"/>
        <v>2026</v>
      </c>
      <c r="N335" s="285">
        <v>35165.58</v>
      </c>
      <c r="P335" s="286">
        <f t="shared" si="787"/>
        <v>35165.58</v>
      </c>
      <c r="Q335" s="286">
        <f t="shared" si="788"/>
        <v>293.04649999999998</v>
      </c>
      <c r="R335" s="286">
        <f t="shared" ref="R335" si="805">IF(O335&gt;0,0,IF(OR(AD335&gt;AE335,AF335&lt;AG335),0,IF(AND(AF335&gt;=AG335,AF335&lt;=AE335),Q335*((AF335-AG335)*12),IF(AND(AG335&lt;=AD335,AE335&gt;=AD335),((AE335-AD335)*12)*Q335,IF(AF335&gt;AE335,12*Q335,0)))))</f>
        <v>3516.558</v>
      </c>
      <c r="T335" s="286">
        <f t="shared" ref="T335" si="806">IF(S335&gt;0,S335,R335)</f>
        <v>3516.558</v>
      </c>
      <c r="U335" s="286">
        <v>1</v>
      </c>
      <c r="V335" s="286">
        <f t="shared" ref="V335" si="807">U335*SUM(R335:S335)</f>
        <v>3516.558</v>
      </c>
      <c r="W335" s="286"/>
      <c r="X335" s="286">
        <f t="shared" ref="X335" si="808">IF(AD335&gt;AE335,0,IF(AF335&lt;AG335,P335,IF(AND(AF335&gt;=AG335,AF335&lt;=AE335),(P335-T335),IF(AND(AG335&lt;=AD335,AE335&gt;=AD335),0,IF(AF335&gt;AE335,((AG335-AD335)*12)*Q335,0)))))</f>
        <v>3223.5115000002661</v>
      </c>
      <c r="Y335" s="286">
        <f t="shared" ref="Y335" si="809">X335*U335</f>
        <v>3223.5115000002661</v>
      </c>
      <c r="Z335" s="286">
        <v>1</v>
      </c>
      <c r="AA335" s="286">
        <f t="shared" ref="AA335" si="810">Y335*Z335</f>
        <v>3223.5115000002661</v>
      </c>
      <c r="AB335" s="286">
        <f t="shared" ref="AB335" si="811">IF(O335&gt;0,0,AA335+V335*Z335)*Z335</f>
        <v>6740.0695000002661</v>
      </c>
      <c r="AC335" s="286">
        <f t="shared" ref="AC335" si="812">IF(O335&gt;0,(N335-AA335)/2,IF(AD335&gt;=AG335,(((N335*U335)*Z335)-AB335)/2,((((N335*U335)*Z335)-AA335)+(((N335*U335)*Z335)-AB335))/2))</f>
        <v>30183.789499999737</v>
      </c>
      <c r="AD335" s="286">
        <f t="shared" si="796"/>
        <v>2016.0833333333333</v>
      </c>
      <c r="AE335" s="286">
        <f t="shared" si="783"/>
        <v>2018</v>
      </c>
      <c r="AF335" s="286">
        <f t="shared" si="797"/>
        <v>2026.0833333333333</v>
      </c>
      <c r="AG335" s="286">
        <f t="shared" si="784"/>
        <v>2017</v>
      </c>
      <c r="AH335" s="286">
        <f t="shared" si="798"/>
        <v>-8.3333333333333329E-2</v>
      </c>
      <c r="AJ335" s="11">
        <f t="shared" si="799"/>
        <v>0</v>
      </c>
      <c r="AL335" s="11">
        <f t="shared" si="800"/>
        <v>3516.558</v>
      </c>
      <c r="AN335" s="11">
        <f t="shared" si="801"/>
        <v>0</v>
      </c>
      <c r="AP335" s="11">
        <f t="shared" si="802"/>
        <v>0</v>
      </c>
      <c r="AR335" s="11">
        <f t="shared" si="803"/>
        <v>30183.789499999737</v>
      </c>
    </row>
    <row r="336" spans="1:44">
      <c r="A336" s="282">
        <v>168865</v>
      </c>
      <c r="C336" s="282">
        <v>353</v>
      </c>
      <c r="D336" s="282" t="s">
        <v>209</v>
      </c>
      <c r="E336" s="282">
        <v>2016</v>
      </c>
      <c r="F336" s="284">
        <v>10</v>
      </c>
      <c r="G336" s="307">
        <v>0</v>
      </c>
      <c r="H336" s="286"/>
      <c r="I336" s="308" t="s">
        <v>86</v>
      </c>
      <c r="J336" s="284">
        <v>7</v>
      </c>
      <c r="K336" s="309">
        <f t="shared" ref="K336" si="813">E336+J336</f>
        <v>2023</v>
      </c>
      <c r="N336" s="285">
        <v>16852.22</v>
      </c>
      <c r="P336" s="286">
        <f t="shared" ref="P336" si="814">N336-N336*G336</f>
        <v>16852.22</v>
      </c>
      <c r="Q336" s="286">
        <f t="shared" ref="Q336" si="815">P336/J336/12</f>
        <v>200.62166666666667</v>
      </c>
      <c r="R336" s="286">
        <f t="shared" ref="R336" si="816">IF(O336&gt;0,0,IF(OR(AD336&gt;AE336,AF336&lt;AG336),0,IF(AND(AF336&gt;=AG336,AF336&lt;=AE336),Q336*((AF336-AG336)*12),IF(AND(AG336&lt;=AD336,AE336&gt;=AD336),((AE336-AD336)*12)*Q336,IF(AF336&gt;AE336,12*Q336,0)))))</f>
        <v>2407.46</v>
      </c>
      <c r="T336" s="286">
        <f t="shared" ref="T336" si="817">IF(S336&gt;0,S336,R336)</f>
        <v>2407.46</v>
      </c>
      <c r="U336" s="286">
        <v>1</v>
      </c>
      <c r="V336" s="286">
        <f t="shared" ref="V336" si="818">U336*SUM(R336:S336)</f>
        <v>2407.46</v>
      </c>
      <c r="W336" s="286"/>
      <c r="X336" s="286">
        <f t="shared" ref="X336" si="819">IF(AD336&gt;AE336,0,IF(AF336&lt;AG336,P336,IF(AND(AF336&gt;=AG336,AF336&lt;=AE336),(P336-T336),IF(AND(AG336&lt;=AD336,AE336&gt;=AD336),0,IF(AF336&gt;AE336,((AG336-AD336)*12)*Q336,0)))))</f>
        <v>601.86500000000001</v>
      </c>
      <c r="Y336" s="286">
        <f t="shared" ref="Y336" si="820">X336*U336</f>
        <v>601.86500000000001</v>
      </c>
      <c r="Z336" s="286">
        <v>1</v>
      </c>
      <c r="AA336" s="286">
        <f t="shared" ref="AA336" si="821">Y336*Z336</f>
        <v>601.86500000000001</v>
      </c>
      <c r="AB336" s="286">
        <f t="shared" ref="AB336" si="822">IF(O336&gt;0,0,AA336+V336*Z336)*Z336</f>
        <v>3009.3249999999998</v>
      </c>
      <c r="AC336" s="286">
        <f t="shared" ref="AC336" si="823">IF(O336&gt;0,(N336-AA336)/2,IF(AD336&gt;=AG336,(((N336*U336)*Z336)-AB336)/2,((((N336*U336)*Z336)-AA336)+(((N336*U336)*Z336)-AB336))/2))</f>
        <v>15046.625</v>
      </c>
      <c r="AD336" s="286">
        <f t="shared" si="796"/>
        <v>2016.75</v>
      </c>
      <c r="AE336" s="286">
        <f t="shared" si="783"/>
        <v>2018</v>
      </c>
      <c r="AF336" s="286">
        <f t="shared" si="797"/>
        <v>2023.75</v>
      </c>
      <c r="AG336" s="286">
        <f t="shared" si="784"/>
        <v>2017</v>
      </c>
      <c r="AH336" s="286">
        <f t="shared" si="798"/>
        <v>-8.3333333333333329E-2</v>
      </c>
      <c r="AJ336" s="11">
        <f t="shared" si="799"/>
        <v>0</v>
      </c>
      <c r="AL336" s="11">
        <f t="shared" si="800"/>
        <v>2407.46</v>
      </c>
      <c r="AN336" s="11">
        <f t="shared" si="801"/>
        <v>0</v>
      </c>
      <c r="AP336" s="11">
        <f t="shared" si="802"/>
        <v>0</v>
      </c>
      <c r="AR336" s="11">
        <f t="shared" si="803"/>
        <v>15046.625</v>
      </c>
    </row>
    <row r="337" spans="1:44">
      <c r="A337" s="282">
        <v>178888</v>
      </c>
      <c r="C337" s="282">
        <v>524</v>
      </c>
      <c r="D337" s="282" t="s">
        <v>393</v>
      </c>
      <c r="E337" s="282">
        <v>2017</v>
      </c>
      <c r="F337" s="284">
        <v>4</v>
      </c>
      <c r="G337" s="284">
        <v>0</v>
      </c>
      <c r="I337" s="284" t="s">
        <v>86</v>
      </c>
      <c r="J337" s="284">
        <v>7</v>
      </c>
      <c r="K337" s="282">
        <f>E337+J337</f>
        <v>2024</v>
      </c>
      <c r="N337" s="285">
        <v>28674.51</v>
      </c>
      <c r="P337" s="282">
        <f>N337-N337*G337</f>
        <v>28674.51</v>
      </c>
      <c r="Q337" s="286">
        <f>P337/J337/12</f>
        <v>341.36321428571426</v>
      </c>
      <c r="R337" s="286">
        <f t="shared" ref="R337" si="824">IF(O337&gt;0,0,IF(OR(AD337&gt;AE337,AF337&lt;AG337),0,IF(AND(AF337&gt;=AG337,AF337&lt;=AE337),Q337*((AF337-AG337)*12),IF(AND(AG337&lt;=AD337,AE337&gt;=AD337),((AE337-AD337)*12)*Q337,IF(AF337&gt;AE337,12*Q337,0)))))</f>
        <v>3072.2689285714282</v>
      </c>
      <c r="T337" s="286">
        <f t="shared" ref="T337" si="825">IF(S337&gt;0,S337,R337)</f>
        <v>3072.2689285714282</v>
      </c>
      <c r="U337" s="286">
        <v>1</v>
      </c>
      <c r="V337" s="286">
        <f t="shared" ref="V337" si="826">U337*SUM(R337:S337)</f>
        <v>3072.2689285714282</v>
      </c>
      <c r="W337" s="286"/>
      <c r="X337" s="286">
        <f t="shared" ref="X337" si="827">IF(AD337&gt;AE337,0,IF(AF337&lt;AG337,P337,IF(AND(AF337&gt;=AG337,AF337&lt;=AE337),(P337-T337),IF(AND(AG337&lt;=AD337,AE337&gt;=AD337),0,IF(AF337&gt;AE337,((AG337-AD337)*12)*Q337,0)))))</f>
        <v>0</v>
      </c>
      <c r="Y337" s="286">
        <f t="shared" ref="Y337" si="828">X337*U337</f>
        <v>0</v>
      </c>
      <c r="Z337" s="286">
        <v>1</v>
      </c>
      <c r="AA337" s="286">
        <f t="shared" ref="AA337" si="829">Y337*Z337</f>
        <v>0</v>
      </c>
      <c r="AB337" s="286">
        <f t="shared" ref="AB337" si="830">IF(O337&gt;0,0,AA337+V337*Z337)*Z337</f>
        <v>3072.2689285714282</v>
      </c>
      <c r="AC337" s="286">
        <f t="shared" ref="AC337" si="831">IF(O337&gt;0,(N337-AA337)/2,IF(AD337&gt;=AG337,(((N337*U337)*Z337)-AB337)/2,((((N337*U337)*Z337)-AA337)+(((N337*U337)*Z337)-AB337))/2))</f>
        <v>12801.120535714284</v>
      </c>
      <c r="AD337" s="286">
        <f>$E337+(($F337-1)/12)</f>
        <v>2017.25</v>
      </c>
      <c r="AE337" s="286">
        <f t="shared" ref="AE337:AE362" si="832">($P$5+1)-($P$2/12)</f>
        <v>2018</v>
      </c>
      <c r="AF337" s="286">
        <f>$K337+(($F337-1)/12)</f>
        <v>2024.25</v>
      </c>
      <c r="AG337" s="286">
        <f t="shared" ref="AG337:AG362" si="833">$P$4+($P$3/12)</f>
        <v>2017</v>
      </c>
      <c r="AH337" s="286">
        <f>$L337+(($M337-1)/12)</f>
        <v>-8.3333333333333329E-2</v>
      </c>
      <c r="AJ337" s="11">
        <f t="shared" si="799"/>
        <v>0</v>
      </c>
      <c r="AL337" s="11">
        <f t="shared" si="800"/>
        <v>3072.2689285714282</v>
      </c>
      <c r="AN337" s="11">
        <f t="shared" si="801"/>
        <v>0</v>
      </c>
      <c r="AP337" s="11">
        <f t="shared" si="802"/>
        <v>0</v>
      </c>
      <c r="AR337" s="11">
        <f t="shared" si="803"/>
        <v>12801.120535714284</v>
      </c>
    </row>
    <row r="338" spans="1:44">
      <c r="G338" s="307"/>
      <c r="H338" s="286"/>
      <c r="I338" s="308"/>
      <c r="K338" s="309"/>
      <c r="P338" s="286"/>
      <c r="Q338" s="286"/>
      <c r="R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</row>
    <row r="339" spans="1:44">
      <c r="D339" s="311" t="s">
        <v>25</v>
      </c>
      <c r="G339" s="307"/>
      <c r="H339" s="286"/>
      <c r="I339" s="308"/>
      <c r="K339" s="309"/>
      <c r="N339" s="319">
        <f>SUM(N327:N338)</f>
        <v>669704.46086956514</v>
      </c>
      <c r="O339" s="327"/>
      <c r="P339" s="315">
        <f t="shared" ref="P339:AC339" si="834">SUM(P327:P338)</f>
        <v>669704.46086956514</v>
      </c>
      <c r="Q339" s="315">
        <f t="shared" si="834"/>
        <v>5817.6035103519671</v>
      </c>
      <c r="R339" s="315">
        <f t="shared" si="834"/>
        <v>65821.650928571413</v>
      </c>
      <c r="S339" s="315">
        <f t="shared" si="834"/>
        <v>0</v>
      </c>
      <c r="T339" s="315">
        <f t="shared" si="834"/>
        <v>65821.650928571413</v>
      </c>
      <c r="U339" s="315">
        <f t="shared" si="834"/>
        <v>11</v>
      </c>
      <c r="V339" s="315">
        <f t="shared" si="834"/>
        <v>65821.650928571413</v>
      </c>
      <c r="W339" s="315">
        <f t="shared" si="834"/>
        <v>0</v>
      </c>
      <c r="X339" s="315">
        <f t="shared" si="834"/>
        <v>417403.60620289826</v>
      </c>
      <c r="Y339" s="315">
        <f t="shared" si="834"/>
        <v>417403.60620289826</v>
      </c>
      <c r="Z339" s="315">
        <f t="shared" si="834"/>
        <v>11</v>
      </c>
      <c r="AA339" s="315">
        <f t="shared" si="834"/>
        <v>417403.60620289826</v>
      </c>
      <c r="AB339" s="315">
        <f t="shared" si="834"/>
        <v>483225.25713146973</v>
      </c>
      <c r="AC339" s="315">
        <f t="shared" si="834"/>
        <v>205052.77420238117</v>
      </c>
      <c r="AD339" s="323"/>
      <c r="AE339" s="323"/>
      <c r="AF339" s="323"/>
      <c r="AG339" s="323"/>
      <c r="AH339" s="323"/>
      <c r="AJ339" s="7">
        <f t="shared" ref="AJ339" si="835">SUM(AJ327:AJ338)</f>
        <v>0</v>
      </c>
      <c r="AK339" s="7">
        <f t="shared" ref="AK339" si="836">SUM(AK327:AK338)</f>
        <v>0</v>
      </c>
      <c r="AL339" s="7">
        <f t="shared" ref="AL339" si="837">SUM(AL327:AL338)</f>
        <v>65821.650928571413</v>
      </c>
      <c r="AM339" s="7">
        <f t="shared" ref="AM339" si="838">SUM(AM327:AM338)</f>
        <v>0</v>
      </c>
      <c r="AN339" s="7">
        <f t="shared" ref="AN339" si="839">SUM(AN327:AN338)</f>
        <v>0</v>
      </c>
      <c r="AO339" s="7">
        <f t="shared" ref="AO339" si="840">SUM(AO327:AO338)</f>
        <v>0</v>
      </c>
      <c r="AP339" s="7">
        <f t="shared" ref="AP339" si="841">SUM(AP327:AP338)</f>
        <v>0</v>
      </c>
      <c r="AQ339" s="7">
        <f t="shared" ref="AQ339" si="842">SUM(AQ327:AQ338)</f>
        <v>0</v>
      </c>
      <c r="AR339" s="7">
        <f t="shared" ref="AR339" si="843">SUM(AR327:AR338)</f>
        <v>205052.77420238117</v>
      </c>
    </row>
    <row r="340" spans="1:44">
      <c r="C340" s="311"/>
      <c r="D340" s="311"/>
      <c r="H340" s="286"/>
      <c r="I340" s="308"/>
      <c r="K340" s="309"/>
      <c r="N340" s="330" t="s">
        <v>2</v>
      </c>
      <c r="P340" s="317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  <c r="AA340" s="317"/>
      <c r="AB340" s="317"/>
      <c r="AC340" s="317"/>
      <c r="AD340" s="286"/>
      <c r="AE340" s="286"/>
      <c r="AF340" s="286"/>
      <c r="AG340" s="286"/>
      <c r="AH340" s="286"/>
    </row>
    <row r="341" spans="1:44">
      <c r="C341" s="311"/>
      <c r="D341" s="311" t="s">
        <v>216</v>
      </c>
      <c r="H341" s="286"/>
      <c r="I341" s="308"/>
      <c r="K341" s="309"/>
      <c r="N341" s="330"/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  <c r="AD341" s="286"/>
      <c r="AE341" s="286"/>
      <c r="AF341" s="286"/>
      <c r="AG341" s="286"/>
      <c r="AH341" s="286"/>
    </row>
    <row r="342" spans="1:44">
      <c r="C342" s="282">
        <v>300</v>
      </c>
      <c r="D342" s="306" t="s">
        <v>217</v>
      </c>
      <c r="E342" s="282">
        <v>1995</v>
      </c>
      <c r="F342" s="284">
        <v>8</v>
      </c>
      <c r="G342" s="307">
        <v>0</v>
      </c>
      <c r="H342" s="286"/>
      <c r="I342" s="308" t="s">
        <v>86</v>
      </c>
      <c r="J342" s="284">
        <v>10</v>
      </c>
      <c r="K342" s="309">
        <f>E342+J342</f>
        <v>2005</v>
      </c>
      <c r="N342" s="285">
        <v>20585</v>
      </c>
      <c r="P342" s="286">
        <f>N342-N342*G342</f>
        <v>20585</v>
      </c>
      <c r="Q342" s="286">
        <f>P342/J342/12</f>
        <v>171.54166666666666</v>
      </c>
      <c r="R342" s="286">
        <f>IF(O342&gt;0,0,IF(OR(AD342&gt;AE342,AF342&lt;AG342),0,IF(AND(AF342&gt;=AG342,AF342&lt;=AE342),Q342*((AF342-AG342)*12),IF(AND(AG342&lt;=AD342,AE342&gt;=AD342),((AE342-AD342)*12)*Q342,IF(AF342&gt;AE342,12*Q342,0)))))</f>
        <v>0</v>
      </c>
      <c r="T342" s="286">
        <f>IF(S342&gt;0,S342,R342)</f>
        <v>0</v>
      </c>
      <c r="U342" s="286">
        <v>1</v>
      </c>
      <c r="V342" s="286">
        <f>U342*SUM(R342:S342)</f>
        <v>0</v>
      </c>
      <c r="W342" s="286"/>
      <c r="X342" s="286">
        <f>IF(AD342&gt;AE342,0,IF(AF342&lt;AG342,P342,IF(AND(AF342&gt;=AG342,AF342&lt;=AE342),(P342-T342),IF(AND(AG342&lt;=AD342,AE342&gt;=AD342),0,IF(AF342&gt;AE342,((AG342-AD342)*12)*Q342,0)))))</f>
        <v>20585</v>
      </c>
      <c r="Y342" s="286">
        <f>X342*U342</f>
        <v>20585</v>
      </c>
      <c r="Z342" s="286">
        <v>1</v>
      </c>
      <c r="AA342" s="286">
        <f>Y342*Z342</f>
        <v>20585</v>
      </c>
      <c r="AB342" s="286">
        <f>IF(O342&gt;0,0,AA342+V342*Z342)*Z342</f>
        <v>20585</v>
      </c>
      <c r="AC342" s="286">
        <f>IF(O342&gt;0,(N342-AA342)/2,IF(AD342&gt;=AG342,(((N342*U342)*Z342)-AB342)/2,((((N342*U342)*Z342)-AA342)+(((N342*U342)*Z342)-AB342))/2))</f>
        <v>0</v>
      </c>
      <c r="AD342" s="286">
        <f>$E342+(($F342-1)/12)</f>
        <v>1995.5833333333333</v>
      </c>
      <c r="AE342" s="286">
        <f>($P$5+1)-($P$2/12)</f>
        <v>2018</v>
      </c>
      <c r="AF342" s="286">
        <f>$K342+(($F342-1)/12)</f>
        <v>2005.5833333333333</v>
      </c>
      <c r="AG342" s="286">
        <f>$P$4+($P$3/12)</f>
        <v>2017</v>
      </c>
      <c r="AH342" s="286">
        <f>$L342+(($M342-1)/12)</f>
        <v>-8.3333333333333329E-2</v>
      </c>
      <c r="AJ342" s="11">
        <f t="shared" ref="AJ342:AJ354" si="844">+IF((AF342-AG342)&gt;3,((N342-P342)/(AF342-AG342)),(N342-P342)/3)</f>
        <v>0</v>
      </c>
      <c r="AL342" s="11">
        <f t="shared" ref="AL342:AL354" si="845">+AJ342+R342</f>
        <v>0</v>
      </c>
      <c r="AN342" s="11">
        <f t="shared" ref="AN342:AN354" si="846">+IF(AF342&lt;AG342,-AC342,0)</f>
        <v>0</v>
      </c>
      <c r="AP342" s="11">
        <f t="shared" ref="AP342:AP354" si="847">+IF(AF342&gt;AG342,IF(AJ342&gt;0,IF(O342&gt;0,(N342-AA342)/2,IF(AD342&gt;=AG342,(((N342*U342)*Z342)-(AB342+AJ342))/2,((((N342*U342)*Z342)-AA342)+(((N342*U342)*Z342)-(AB342+AJ342)))/2)),0),0)</f>
        <v>0</v>
      </c>
      <c r="AR342" s="11">
        <f t="shared" ref="AR342:AR354" si="848">+AC342+AN342+(IF(AP342&gt;0,(AP342-AC342),0))</f>
        <v>0</v>
      </c>
    </row>
    <row r="343" spans="1:44">
      <c r="C343" s="282">
        <v>100</v>
      </c>
      <c r="D343" s="282" t="s">
        <v>218</v>
      </c>
      <c r="E343" s="282">
        <v>2008</v>
      </c>
      <c r="F343" s="284">
        <v>7</v>
      </c>
      <c r="G343" s="307">
        <v>0</v>
      </c>
      <c r="H343" s="286"/>
      <c r="I343" s="308" t="s">
        <v>86</v>
      </c>
      <c r="J343" s="284">
        <v>10</v>
      </c>
      <c r="K343" s="309">
        <f>E343+J343</f>
        <v>2018</v>
      </c>
      <c r="N343" s="285">
        <f>4850+732.5+407.4</f>
        <v>5989.9</v>
      </c>
      <c r="P343" s="286">
        <f>N343-N343*G343</f>
        <v>5989.9</v>
      </c>
      <c r="Q343" s="286">
        <f>P343/J343/12</f>
        <v>49.915833333333332</v>
      </c>
      <c r="R343" s="286">
        <f>IF(O343&gt;0,0,IF(OR(AD343&gt;AE343,AF343&lt;AG343),0,IF(AND(AF343&gt;=AG343,AF343&lt;=AE343),Q343*((AF343-AG343)*12),IF(AND(AG343&lt;=AD343,AE343&gt;=AD343),((AE343-AD343)*12)*Q343,IF(AF343&gt;AE343,12*Q343,0)))))</f>
        <v>598.99</v>
      </c>
      <c r="T343" s="286">
        <f>IF(S343&gt;0,S343,R343)</f>
        <v>598.99</v>
      </c>
      <c r="U343" s="286">
        <v>1</v>
      </c>
      <c r="V343" s="286">
        <f>U343*SUM(R343:S343)</f>
        <v>598.99</v>
      </c>
      <c r="W343" s="286"/>
      <c r="X343" s="286">
        <f>IF(AD343&gt;AE343,0,IF(AF343&lt;AG343,P343,IF(AND(AF343&gt;=AG343,AF343&lt;=AE343),(P343-T343),IF(AND(AG343&lt;=AD343,AE343&gt;=AD343),0,IF(AF343&gt;AE343,((AG343-AD343)*12)*Q343,0)))))</f>
        <v>5091.415</v>
      </c>
      <c r="Y343" s="286">
        <f>X343*U343</f>
        <v>5091.415</v>
      </c>
      <c r="Z343" s="286">
        <v>1</v>
      </c>
      <c r="AA343" s="286">
        <f>Y343*Z343</f>
        <v>5091.415</v>
      </c>
      <c r="AB343" s="286">
        <f>IF(O343&gt;0,0,AA343+V343*Z343)*Z343</f>
        <v>5690.4049999999997</v>
      </c>
      <c r="AC343" s="286">
        <f>IF(O343&gt;0,(N343-AA343)/2,IF(AD343&gt;=AG343,(((N343*U343)*Z343)-AB343)/2,((((N343*U343)*Z343)-AA343)+(((N343*U343)*Z343)-AB343))/2))</f>
        <v>598.98999999999978</v>
      </c>
      <c r="AD343" s="286">
        <f>$E343+(($F343-1)/12)</f>
        <v>2008.5</v>
      </c>
      <c r="AE343" s="286">
        <f>($P$5+1)-($P$2/12)</f>
        <v>2018</v>
      </c>
      <c r="AF343" s="286">
        <f>$K343+(($F343-1)/12)</f>
        <v>2018.5</v>
      </c>
      <c r="AG343" s="286">
        <f>$P$4+($P$3/12)</f>
        <v>2017</v>
      </c>
      <c r="AH343" s="286">
        <f>$L343+(($M343-1)/12)</f>
        <v>-8.3333333333333329E-2</v>
      </c>
      <c r="AJ343" s="11">
        <f t="shared" si="844"/>
        <v>0</v>
      </c>
      <c r="AL343" s="11">
        <f t="shared" si="845"/>
        <v>598.99</v>
      </c>
      <c r="AN343" s="11">
        <f t="shared" si="846"/>
        <v>0</v>
      </c>
      <c r="AP343" s="11">
        <f t="shared" si="847"/>
        <v>0</v>
      </c>
      <c r="AR343" s="11">
        <f t="shared" si="848"/>
        <v>598.98999999999978</v>
      </c>
    </row>
    <row r="344" spans="1:44">
      <c r="C344" s="282">
        <v>100</v>
      </c>
      <c r="D344" s="282" t="s">
        <v>218</v>
      </c>
      <c r="E344" s="282">
        <v>2010</v>
      </c>
      <c r="F344" s="284">
        <v>8</v>
      </c>
      <c r="G344" s="307">
        <v>0</v>
      </c>
      <c r="H344" s="286"/>
      <c r="I344" s="308" t="s">
        <v>86</v>
      </c>
      <c r="J344" s="284">
        <v>10</v>
      </c>
      <c r="K344" s="309">
        <f>E344+J344</f>
        <v>2020</v>
      </c>
      <c r="N344" s="285">
        <v>5983.8</v>
      </c>
      <c r="P344" s="286">
        <f>N344-N344*G344</f>
        <v>5983.8</v>
      </c>
      <c r="Q344" s="286">
        <f>P344/J344/12</f>
        <v>49.865000000000002</v>
      </c>
      <c r="R344" s="286">
        <f>IF(O344&gt;0,0,IF(OR(AD344&gt;AE344,AF344&lt;AG344),0,IF(AND(AF344&gt;=AG344,AF344&lt;=AE344),Q344*((AF344-AG344)*12),IF(AND(AG344&lt;=AD344,AE344&gt;=AD344),((AE344-AD344)*12)*Q344,IF(AF344&gt;AE344,12*Q344,0)))))</f>
        <v>598.38</v>
      </c>
      <c r="T344" s="286">
        <f>IF(S344&gt;0,S344,R344)</f>
        <v>598.38</v>
      </c>
      <c r="U344" s="286">
        <v>1</v>
      </c>
      <c r="V344" s="286">
        <f>U344*SUM(R344:S344)</f>
        <v>598.38</v>
      </c>
      <c r="W344" s="286"/>
      <c r="X344" s="286">
        <f>IF(AD344&gt;AE344,0,IF(AF344&lt;AG344,P344,IF(AND(AF344&gt;=AG344,AF344&lt;=AE344),(P344-T344),IF(AND(AG344&lt;=AD344,AE344&gt;=AD344),0,IF(AF344&gt;AE344,((AG344-AD344)*12)*Q344,0)))))</f>
        <v>3839.6050000000455</v>
      </c>
      <c r="Y344" s="286">
        <f>X344*U344</f>
        <v>3839.6050000000455</v>
      </c>
      <c r="Z344" s="286">
        <v>1</v>
      </c>
      <c r="AA344" s="286">
        <f>Y344*Z344</f>
        <v>3839.6050000000455</v>
      </c>
      <c r="AB344" s="286">
        <f>IF(O344&gt;0,0,AA344+V344*Z344)*Z344</f>
        <v>4437.9850000000451</v>
      </c>
      <c r="AC344" s="286">
        <f>IF(O344&gt;0,(N344-AA344)/2,IF(AD344&gt;=AG344,(((N344*U344)*Z344)-AB344)/2,((((N344*U344)*Z344)-AA344)+(((N344*U344)*Z344)-AB344))/2))</f>
        <v>1845.0049999999549</v>
      </c>
      <c r="AD344" s="286">
        <f>$E344+(($F344-1)/12)</f>
        <v>2010.5833333333333</v>
      </c>
      <c r="AE344" s="286">
        <f>($P$5+1)-($P$2/12)</f>
        <v>2018</v>
      </c>
      <c r="AF344" s="286">
        <f>$K344+(($F344-1)/12)</f>
        <v>2020.5833333333333</v>
      </c>
      <c r="AG344" s="286">
        <f>$P$4+($P$3/12)</f>
        <v>2017</v>
      </c>
      <c r="AH344" s="286">
        <f>$L344+(($M344-1)/12)</f>
        <v>-8.3333333333333329E-2</v>
      </c>
      <c r="AJ344" s="11">
        <f t="shared" si="844"/>
        <v>0</v>
      </c>
      <c r="AL344" s="11">
        <f t="shared" si="845"/>
        <v>598.38</v>
      </c>
      <c r="AN344" s="11">
        <f t="shared" si="846"/>
        <v>0</v>
      </c>
      <c r="AP344" s="11">
        <f t="shared" si="847"/>
        <v>0</v>
      </c>
      <c r="AR344" s="11">
        <f t="shared" si="848"/>
        <v>1845.0049999999549</v>
      </c>
    </row>
    <row r="345" spans="1:44">
      <c r="G345" s="307"/>
      <c r="H345" s="286"/>
      <c r="I345" s="308"/>
      <c r="K345" s="309"/>
      <c r="P345" s="286"/>
      <c r="Q345" s="286"/>
      <c r="R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J345" s="11">
        <f t="shared" si="844"/>
        <v>0</v>
      </c>
      <c r="AL345" s="11">
        <f t="shared" si="845"/>
        <v>0</v>
      </c>
      <c r="AN345" s="11">
        <f t="shared" si="846"/>
        <v>0</v>
      </c>
      <c r="AP345" s="11">
        <f t="shared" si="847"/>
        <v>0</v>
      </c>
      <c r="AR345" s="11">
        <f t="shared" si="848"/>
        <v>0</v>
      </c>
    </row>
    <row r="346" spans="1:44">
      <c r="C346" s="282">
        <v>2</v>
      </c>
      <c r="D346" s="332" t="s">
        <v>175</v>
      </c>
      <c r="E346" s="282">
        <v>1996</v>
      </c>
      <c r="F346" s="284">
        <v>7</v>
      </c>
      <c r="G346" s="307">
        <v>0</v>
      </c>
      <c r="H346" s="286"/>
      <c r="I346" s="308" t="s">
        <v>86</v>
      </c>
      <c r="J346" s="284">
        <v>10</v>
      </c>
      <c r="K346" s="309">
        <f t="shared" ref="K346:K354" si="849">E346+J346</f>
        <v>2006</v>
      </c>
      <c r="N346" s="285">
        <v>5440</v>
      </c>
      <c r="P346" s="286">
        <f t="shared" ref="P346:P352" si="850">N346-N346*G346</f>
        <v>5440</v>
      </c>
      <c r="Q346" s="286">
        <f t="shared" ref="Q346:Q352" si="851">P346/J346/12</f>
        <v>45.333333333333336</v>
      </c>
      <c r="R346" s="286">
        <f t="shared" ref="R346:R352" si="852">IF(O346&gt;0,0,IF(OR(AD346&gt;AE346,AF346&lt;AG346),0,IF(AND(AF346&gt;=AG346,AF346&lt;=AE346),Q346*((AF346-AG346)*12),IF(AND(AG346&lt;=AD346,AE346&gt;=AD346),((AE346-AD346)*12)*Q346,IF(AF346&gt;AE346,12*Q346,0)))))</f>
        <v>0</v>
      </c>
      <c r="T346" s="286">
        <f t="shared" ref="T346:T352" si="853">IF(S346&gt;0,S346,R346)</f>
        <v>0</v>
      </c>
      <c r="U346" s="286">
        <v>1</v>
      </c>
      <c r="V346" s="286">
        <f t="shared" ref="V346:V352" si="854">U346*SUM(R346:S346)</f>
        <v>0</v>
      </c>
      <c r="W346" s="286"/>
      <c r="X346" s="286">
        <f t="shared" ref="X346:X352" si="855">IF(AD346&gt;AE346,0,IF(AF346&lt;AG346,P346,IF(AND(AF346&gt;=AG346,AF346&lt;=AE346),(P346-T346),IF(AND(AG346&lt;=AD346,AE346&gt;=AD346),0,IF(AF346&gt;AE346,((AG346-AD346)*12)*Q346,0)))))</f>
        <v>5440</v>
      </c>
      <c r="Y346" s="286">
        <f t="shared" ref="Y346:Y352" si="856">X346*U346</f>
        <v>5440</v>
      </c>
      <c r="Z346" s="286">
        <v>1</v>
      </c>
      <c r="AA346" s="286">
        <f t="shared" ref="AA346:AA352" si="857">Y346*Z346</f>
        <v>5440</v>
      </c>
      <c r="AB346" s="286">
        <f t="shared" ref="AB346:AB352" si="858">IF(O346&gt;0,0,AA346+V346*Z346)*Z346</f>
        <v>5440</v>
      </c>
      <c r="AC346" s="286">
        <f t="shared" ref="AC346:AC352" si="859">IF(O346&gt;0,(N346-AA346)/2,IF(AD346&gt;=AG346,(((N346*U346)*Z346)-AB346)/2,((((N346*U346)*Z346)-AA346)+(((N346*U346)*Z346)-AB346))/2))</f>
        <v>0</v>
      </c>
      <c r="AD346" s="286">
        <f t="shared" ref="AD346:AD354" si="860">$E346+(($F346-1)/12)</f>
        <v>1996.5</v>
      </c>
      <c r="AE346" s="286">
        <f t="shared" si="832"/>
        <v>2018</v>
      </c>
      <c r="AF346" s="286">
        <f t="shared" ref="AF346:AF354" si="861">$K346+(($F346-1)/12)</f>
        <v>2006.5</v>
      </c>
      <c r="AG346" s="286">
        <f t="shared" si="833"/>
        <v>2017</v>
      </c>
      <c r="AH346" s="286">
        <f t="shared" ref="AH346:AH354" si="862">$L346+(($M346-1)/12)</f>
        <v>-8.3333333333333329E-2</v>
      </c>
      <c r="AJ346" s="11">
        <f t="shared" si="844"/>
        <v>0</v>
      </c>
      <c r="AL346" s="11">
        <f t="shared" si="845"/>
        <v>0</v>
      </c>
      <c r="AN346" s="11">
        <f t="shared" si="846"/>
        <v>0</v>
      </c>
      <c r="AP346" s="11">
        <f t="shared" si="847"/>
        <v>0</v>
      </c>
      <c r="AR346" s="11">
        <f t="shared" si="848"/>
        <v>0</v>
      </c>
    </row>
    <row r="347" spans="1:44">
      <c r="C347" s="282">
        <v>5</v>
      </c>
      <c r="D347" s="329" t="s">
        <v>187</v>
      </c>
      <c r="E347" s="282">
        <v>2002</v>
      </c>
      <c r="F347" s="284">
        <v>12</v>
      </c>
      <c r="G347" s="307">
        <v>0</v>
      </c>
      <c r="H347" s="286"/>
      <c r="I347" s="308" t="s">
        <v>86</v>
      </c>
      <c r="J347" s="284">
        <v>10</v>
      </c>
      <c r="K347" s="309">
        <f t="shared" si="849"/>
        <v>2012</v>
      </c>
      <c r="N347" s="285">
        <f>16328/2</f>
        <v>8164</v>
      </c>
      <c r="P347" s="286">
        <f t="shared" si="850"/>
        <v>8164</v>
      </c>
      <c r="Q347" s="286">
        <f t="shared" si="851"/>
        <v>68.033333333333331</v>
      </c>
      <c r="R347" s="286">
        <f t="shared" si="852"/>
        <v>0</v>
      </c>
      <c r="T347" s="286">
        <f t="shared" si="853"/>
        <v>0</v>
      </c>
      <c r="U347" s="286">
        <v>1</v>
      </c>
      <c r="V347" s="286">
        <f t="shared" si="854"/>
        <v>0</v>
      </c>
      <c r="W347" s="286"/>
      <c r="X347" s="286">
        <f t="shared" si="855"/>
        <v>8164</v>
      </c>
      <c r="Y347" s="286">
        <f t="shared" si="856"/>
        <v>8164</v>
      </c>
      <c r="Z347" s="286">
        <v>1</v>
      </c>
      <c r="AA347" s="286">
        <f t="shared" si="857"/>
        <v>8164</v>
      </c>
      <c r="AB347" s="286">
        <f t="shared" si="858"/>
        <v>8164</v>
      </c>
      <c r="AC347" s="286">
        <f t="shared" si="859"/>
        <v>0</v>
      </c>
      <c r="AD347" s="286">
        <f t="shared" si="860"/>
        <v>2002.9166666666667</v>
      </c>
      <c r="AE347" s="286">
        <f t="shared" si="832"/>
        <v>2018</v>
      </c>
      <c r="AF347" s="286">
        <f t="shared" si="861"/>
        <v>2012.9166666666667</v>
      </c>
      <c r="AG347" s="286">
        <f t="shared" si="833"/>
        <v>2017</v>
      </c>
      <c r="AH347" s="286">
        <f t="shared" si="862"/>
        <v>-8.3333333333333329E-2</v>
      </c>
      <c r="AJ347" s="11">
        <f t="shared" si="844"/>
        <v>0</v>
      </c>
      <c r="AL347" s="11">
        <f t="shared" si="845"/>
        <v>0</v>
      </c>
      <c r="AN347" s="11">
        <f t="shared" si="846"/>
        <v>0</v>
      </c>
      <c r="AP347" s="11">
        <f t="shared" si="847"/>
        <v>0</v>
      </c>
      <c r="AR347" s="11">
        <f t="shared" si="848"/>
        <v>0</v>
      </c>
    </row>
    <row r="348" spans="1:44">
      <c r="C348" s="282">
        <v>2</v>
      </c>
      <c r="D348" s="329" t="s">
        <v>219</v>
      </c>
      <c r="E348" s="282">
        <v>2004</v>
      </c>
      <c r="F348" s="284">
        <v>10</v>
      </c>
      <c r="G348" s="307">
        <v>0</v>
      </c>
      <c r="H348" s="286"/>
      <c r="I348" s="308" t="s">
        <v>86</v>
      </c>
      <c r="J348" s="284">
        <v>10</v>
      </c>
      <c r="K348" s="309">
        <f t="shared" si="849"/>
        <v>2014</v>
      </c>
      <c r="N348" s="285">
        <v>7123</v>
      </c>
      <c r="P348" s="286">
        <f t="shared" si="850"/>
        <v>7123</v>
      </c>
      <c r="Q348" s="286">
        <f t="shared" si="851"/>
        <v>59.358333333333327</v>
      </c>
      <c r="R348" s="286">
        <f t="shared" si="852"/>
        <v>0</v>
      </c>
      <c r="T348" s="286">
        <f t="shared" si="853"/>
        <v>0</v>
      </c>
      <c r="U348" s="286">
        <v>1</v>
      </c>
      <c r="V348" s="286">
        <f t="shared" si="854"/>
        <v>0</v>
      </c>
      <c r="W348" s="286"/>
      <c r="X348" s="286">
        <f t="shared" si="855"/>
        <v>7123</v>
      </c>
      <c r="Y348" s="286">
        <f t="shared" si="856"/>
        <v>7123</v>
      </c>
      <c r="Z348" s="286">
        <v>1</v>
      </c>
      <c r="AA348" s="286">
        <f t="shared" si="857"/>
        <v>7123</v>
      </c>
      <c r="AB348" s="286">
        <f t="shared" si="858"/>
        <v>7123</v>
      </c>
      <c r="AC348" s="286">
        <f t="shared" si="859"/>
        <v>0</v>
      </c>
      <c r="AD348" s="286">
        <f t="shared" si="860"/>
        <v>2004.75</v>
      </c>
      <c r="AE348" s="286">
        <f t="shared" si="832"/>
        <v>2018</v>
      </c>
      <c r="AF348" s="286">
        <f t="shared" si="861"/>
        <v>2014.75</v>
      </c>
      <c r="AG348" s="286">
        <f t="shared" si="833"/>
        <v>2017</v>
      </c>
      <c r="AH348" s="286">
        <f t="shared" si="862"/>
        <v>-8.3333333333333329E-2</v>
      </c>
      <c r="AJ348" s="11">
        <f t="shared" si="844"/>
        <v>0</v>
      </c>
      <c r="AL348" s="11">
        <f t="shared" si="845"/>
        <v>0</v>
      </c>
      <c r="AN348" s="11">
        <f t="shared" si="846"/>
        <v>0</v>
      </c>
      <c r="AP348" s="11">
        <f t="shared" si="847"/>
        <v>0</v>
      </c>
      <c r="AR348" s="11">
        <f t="shared" si="848"/>
        <v>0</v>
      </c>
    </row>
    <row r="349" spans="1:44">
      <c r="C349" s="282">
        <v>1</v>
      </c>
      <c r="D349" s="329" t="s">
        <v>220</v>
      </c>
      <c r="E349" s="282">
        <v>2008</v>
      </c>
      <c r="F349" s="284">
        <v>6</v>
      </c>
      <c r="G349" s="307">
        <v>0</v>
      </c>
      <c r="H349" s="286"/>
      <c r="I349" s="308" t="s">
        <v>86</v>
      </c>
      <c r="J349" s="284">
        <v>10</v>
      </c>
      <c r="K349" s="309">
        <f t="shared" si="849"/>
        <v>2018</v>
      </c>
      <c r="N349" s="285">
        <v>4899</v>
      </c>
      <c r="P349" s="286">
        <f t="shared" si="850"/>
        <v>4899</v>
      </c>
      <c r="Q349" s="286">
        <f t="shared" si="851"/>
        <v>40.824999999999996</v>
      </c>
      <c r="R349" s="286">
        <f t="shared" si="852"/>
        <v>489.9</v>
      </c>
      <c r="T349" s="286">
        <f t="shared" si="853"/>
        <v>489.9</v>
      </c>
      <c r="U349" s="286">
        <v>1</v>
      </c>
      <c r="V349" s="286">
        <f t="shared" si="854"/>
        <v>489.9</v>
      </c>
      <c r="W349" s="286"/>
      <c r="X349" s="286">
        <f t="shared" si="855"/>
        <v>4204.9749999999622</v>
      </c>
      <c r="Y349" s="286">
        <f t="shared" si="856"/>
        <v>4204.9749999999622</v>
      </c>
      <c r="Z349" s="286">
        <v>1</v>
      </c>
      <c r="AA349" s="286">
        <f t="shared" si="857"/>
        <v>4204.9749999999622</v>
      </c>
      <c r="AB349" s="286">
        <f t="shared" si="858"/>
        <v>4694.8749999999618</v>
      </c>
      <c r="AC349" s="286">
        <f t="shared" si="859"/>
        <v>449.07500000003802</v>
      </c>
      <c r="AD349" s="286">
        <f t="shared" si="860"/>
        <v>2008.4166666666667</v>
      </c>
      <c r="AE349" s="286">
        <f t="shared" si="832"/>
        <v>2018</v>
      </c>
      <c r="AF349" s="286">
        <f t="shared" si="861"/>
        <v>2018.4166666666667</v>
      </c>
      <c r="AG349" s="286">
        <f t="shared" si="833"/>
        <v>2017</v>
      </c>
      <c r="AH349" s="286">
        <f t="shared" si="862"/>
        <v>-8.3333333333333329E-2</v>
      </c>
      <c r="AJ349" s="11">
        <f t="shared" si="844"/>
        <v>0</v>
      </c>
      <c r="AL349" s="11">
        <f t="shared" si="845"/>
        <v>489.9</v>
      </c>
      <c r="AN349" s="11">
        <f t="shared" si="846"/>
        <v>0</v>
      </c>
      <c r="AP349" s="11">
        <f t="shared" si="847"/>
        <v>0</v>
      </c>
      <c r="AR349" s="11">
        <f t="shared" si="848"/>
        <v>449.07500000003802</v>
      </c>
    </row>
    <row r="350" spans="1:44">
      <c r="C350" s="282">
        <v>3</v>
      </c>
      <c r="D350" s="329" t="s">
        <v>335</v>
      </c>
      <c r="E350" s="282">
        <v>2015</v>
      </c>
      <c r="F350" s="284">
        <v>11</v>
      </c>
      <c r="G350" s="307">
        <v>0</v>
      </c>
      <c r="H350" s="286"/>
      <c r="I350" s="308" t="s">
        <v>86</v>
      </c>
      <c r="J350" s="284">
        <v>10</v>
      </c>
      <c r="K350" s="309">
        <f t="shared" si="849"/>
        <v>2025</v>
      </c>
      <c r="N350" s="285">
        <v>17780</v>
      </c>
      <c r="P350" s="286">
        <f t="shared" si="850"/>
        <v>17780</v>
      </c>
      <c r="Q350" s="286">
        <f t="shared" si="851"/>
        <v>148.16666666666666</v>
      </c>
      <c r="R350" s="286">
        <f t="shared" si="852"/>
        <v>1778</v>
      </c>
      <c r="T350" s="286">
        <f t="shared" si="853"/>
        <v>1778</v>
      </c>
      <c r="U350" s="286">
        <v>1</v>
      </c>
      <c r="V350" s="286">
        <f t="shared" si="854"/>
        <v>1778</v>
      </c>
      <c r="W350" s="286"/>
      <c r="X350" s="286">
        <f t="shared" si="855"/>
        <v>2074.3333333334681</v>
      </c>
      <c r="Y350" s="286">
        <f t="shared" si="856"/>
        <v>2074.3333333334681</v>
      </c>
      <c r="Z350" s="286">
        <v>1</v>
      </c>
      <c r="AA350" s="286">
        <f t="shared" si="857"/>
        <v>2074.3333333334681</v>
      </c>
      <c r="AB350" s="286">
        <f t="shared" si="858"/>
        <v>3852.3333333334681</v>
      </c>
      <c r="AC350" s="286">
        <f t="shared" si="859"/>
        <v>14816.666666666531</v>
      </c>
      <c r="AD350" s="286">
        <f t="shared" si="860"/>
        <v>2015.8333333333333</v>
      </c>
      <c r="AE350" s="286">
        <f t="shared" si="832"/>
        <v>2018</v>
      </c>
      <c r="AF350" s="286">
        <f t="shared" si="861"/>
        <v>2025.8333333333333</v>
      </c>
      <c r="AG350" s="286">
        <f t="shared" si="833"/>
        <v>2017</v>
      </c>
      <c r="AH350" s="286">
        <f t="shared" si="862"/>
        <v>-8.3333333333333329E-2</v>
      </c>
      <c r="AJ350" s="11">
        <f t="shared" si="844"/>
        <v>0</v>
      </c>
      <c r="AL350" s="11">
        <f t="shared" si="845"/>
        <v>1778</v>
      </c>
      <c r="AN350" s="11">
        <f t="shared" si="846"/>
        <v>0</v>
      </c>
      <c r="AP350" s="11">
        <f t="shared" si="847"/>
        <v>0</v>
      </c>
      <c r="AR350" s="11">
        <f t="shared" si="848"/>
        <v>14816.666666666531</v>
      </c>
    </row>
    <row r="351" spans="1:44">
      <c r="D351" s="329"/>
      <c r="G351" s="307"/>
      <c r="H351" s="286"/>
      <c r="I351" s="308"/>
      <c r="K351" s="309"/>
      <c r="P351" s="286"/>
      <c r="Q351" s="286"/>
      <c r="R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J351" s="11">
        <f t="shared" si="844"/>
        <v>0</v>
      </c>
      <c r="AL351" s="11">
        <f t="shared" si="845"/>
        <v>0</v>
      </c>
      <c r="AN351" s="11">
        <f t="shared" si="846"/>
        <v>0</v>
      </c>
      <c r="AP351" s="11">
        <f t="shared" si="847"/>
        <v>0</v>
      </c>
      <c r="AR351" s="11">
        <f t="shared" si="848"/>
        <v>0</v>
      </c>
    </row>
    <row r="352" spans="1:44">
      <c r="A352" s="282">
        <v>129381</v>
      </c>
      <c r="C352" s="282">
        <v>3</v>
      </c>
      <c r="D352" s="329" t="s">
        <v>335</v>
      </c>
      <c r="E352" s="282">
        <v>2016</v>
      </c>
      <c r="F352" s="284">
        <v>1</v>
      </c>
      <c r="G352" s="307">
        <v>0</v>
      </c>
      <c r="H352" s="286"/>
      <c r="I352" s="308" t="s">
        <v>86</v>
      </c>
      <c r="J352" s="284">
        <v>10</v>
      </c>
      <c r="K352" s="309">
        <f t="shared" si="849"/>
        <v>2026</v>
      </c>
      <c r="M352" s="282">
        <v>35560</v>
      </c>
      <c r="N352" s="285">
        <v>35560</v>
      </c>
      <c r="P352" s="286">
        <f t="shared" si="850"/>
        <v>35560</v>
      </c>
      <c r="Q352" s="286">
        <f t="shared" si="851"/>
        <v>296.33333333333331</v>
      </c>
      <c r="R352" s="286">
        <f t="shared" si="852"/>
        <v>3556</v>
      </c>
      <c r="T352" s="286">
        <f t="shared" si="853"/>
        <v>3556</v>
      </c>
      <c r="U352" s="286">
        <v>1</v>
      </c>
      <c r="V352" s="286">
        <f t="shared" si="854"/>
        <v>3556</v>
      </c>
      <c r="W352" s="286"/>
      <c r="X352" s="286">
        <f t="shared" si="855"/>
        <v>3556</v>
      </c>
      <c r="Y352" s="286">
        <f t="shared" si="856"/>
        <v>3556</v>
      </c>
      <c r="Z352" s="286">
        <v>1</v>
      </c>
      <c r="AA352" s="286">
        <f t="shared" si="857"/>
        <v>3556</v>
      </c>
      <c r="AB352" s="286">
        <f t="shared" si="858"/>
        <v>7112</v>
      </c>
      <c r="AC352" s="286">
        <f t="shared" si="859"/>
        <v>30226</v>
      </c>
      <c r="AD352" s="286">
        <f t="shared" si="860"/>
        <v>2016</v>
      </c>
      <c r="AE352" s="286">
        <f t="shared" si="832"/>
        <v>2018</v>
      </c>
      <c r="AF352" s="286">
        <f t="shared" si="861"/>
        <v>2026</v>
      </c>
      <c r="AG352" s="286">
        <f t="shared" si="833"/>
        <v>2017</v>
      </c>
      <c r="AH352" s="286">
        <f t="shared" si="862"/>
        <v>2963.25</v>
      </c>
      <c r="AJ352" s="11">
        <f t="shared" si="844"/>
        <v>0</v>
      </c>
      <c r="AL352" s="11">
        <f t="shared" si="845"/>
        <v>3556</v>
      </c>
      <c r="AN352" s="11">
        <f t="shared" si="846"/>
        <v>0</v>
      </c>
      <c r="AP352" s="11">
        <f t="shared" si="847"/>
        <v>0</v>
      </c>
      <c r="AR352" s="11">
        <f t="shared" si="848"/>
        <v>30226</v>
      </c>
    </row>
    <row r="353" spans="1:44">
      <c r="A353" s="282" t="s">
        <v>336</v>
      </c>
      <c r="C353" s="282">
        <v>18</v>
      </c>
      <c r="D353" s="329" t="s">
        <v>335</v>
      </c>
      <c r="E353" s="282">
        <v>2016</v>
      </c>
      <c r="F353" s="284">
        <v>2</v>
      </c>
      <c r="G353" s="307">
        <v>0</v>
      </c>
      <c r="H353" s="286"/>
      <c r="I353" s="308" t="s">
        <v>86</v>
      </c>
      <c r="J353" s="284">
        <v>10</v>
      </c>
      <c r="K353" s="309">
        <f t="shared" si="849"/>
        <v>2026</v>
      </c>
      <c r="N353" s="285">
        <f>17780+55830+6106.67+11853.33+19190</f>
        <v>110760</v>
      </c>
      <c r="P353" s="286">
        <f t="shared" ref="P353" si="863">N353-N353*G353</f>
        <v>110760</v>
      </c>
      <c r="Q353" s="286">
        <f t="shared" ref="Q353" si="864">P353/J353/12</f>
        <v>923</v>
      </c>
      <c r="R353" s="286">
        <f t="shared" ref="R353" si="865">IF(O353&gt;0,0,IF(OR(AD353&gt;AE353,AF353&lt;AG353),0,IF(AND(AF353&gt;=AG353,AF353&lt;=AE353),Q353*((AF353-AG353)*12),IF(AND(AG353&lt;=AD353,AE353&gt;=AD353),((AE353-AD353)*12)*Q353,IF(AF353&gt;AE353,12*Q353,0)))))</f>
        <v>11076</v>
      </c>
      <c r="T353" s="286">
        <f t="shared" ref="T353" si="866">IF(S353&gt;0,S353,R353)</f>
        <v>11076</v>
      </c>
      <c r="U353" s="286">
        <v>1</v>
      </c>
      <c r="V353" s="286">
        <f t="shared" ref="V353" si="867">U353*SUM(R353:S353)</f>
        <v>11076</v>
      </c>
      <c r="W353" s="286"/>
      <c r="X353" s="286">
        <f t="shared" ref="X353" si="868">IF(AD353&gt;AE353,0,IF(AF353&lt;AG353,P353,IF(AND(AF353&gt;=AG353,AF353&lt;=AE353),(P353-T353),IF(AND(AG353&lt;=AD353,AE353&gt;=AD353),0,IF(AF353&gt;AE353,((AG353-AD353)*12)*Q353,0)))))</f>
        <v>10153.00000000084</v>
      </c>
      <c r="Y353" s="286">
        <f t="shared" ref="Y353" si="869">X353*U353</f>
        <v>10153.00000000084</v>
      </c>
      <c r="Z353" s="286">
        <v>1</v>
      </c>
      <c r="AA353" s="286">
        <f t="shared" ref="AA353" si="870">Y353*Z353</f>
        <v>10153.00000000084</v>
      </c>
      <c r="AB353" s="286">
        <f t="shared" ref="AB353" si="871">IF(O353&gt;0,0,AA353+V353*Z353)*Z353</f>
        <v>21229.00000000084</v>
      </c>
      <c r="AC353" s="286">
        <f t="shared" ref="AC353" si="872">IF(O353&gt;0,(N353-AA353)/2,IF(AD353&gt;=AG353,(((N353*U353)*Z353)-AB353)/2,((((N353*U353)*Z353)-AA353)+(((N353*U353)*Z353)-AB353))/2))</f>
        <v>95068.999999999156</v>
      </c>
      <c r="AD353" s="286">
        <f t="shared" si="860"/>
        <v>2016.0833333333333</v>
      </c>
      <c r="AE353" s="286">
        <f t="shared" si="832"/>
        <v>2018</v>
      </c>
      <c r="AF353" s="286">
        <f t="shared" si="861"/>
        <v>2026.0833333333333</v>
      </c>
      <c r="AG353" s="286">
        <f t="shared" si="833"/>
        <v>2017</v>
      </c>
      <c r="AH353" s="286">
        <f t="shared" si="862"/>
        <v>-8.3333333333333329E-2</v>
      </c>
      <c r="AJ353" s="11">
        <f t="shared" si="844"/>
        <v>0</v>
      </c>
      <c r="AL353" s="11">
        <f t="shared" si="845"/>
        <v>11076</v>
      </c>
      <c r="AN353" s="11">
        <f t="shared" si="846"/>
        <v>0</v>
      </c>
      <c r="AP353" s="11">
        <f t="shared" si="847"/>
        <v>0</v>
      </c>
      <c r="AR353" s="11">
        <f t="shared" si="848"/>
        <v>95068.999999999156</v>
      </c>
    </row>
    <row r="354" spans="1:44">
      <c r="A354" s="282">
        <v>132005</v>
      </c>
      <c r="D354" s="329" t="s">
        <v>335</v>
      </c>
      <c r="E354" s="282">
        <v>2016</v>
      </c>
      <c r="F354" s="284">
        <v>1</v>
      </c>
      <c r="G354" s="307">
        <v>0</v>
      </c>
      <c r="H354" s="286"/>
      <c r="I354" s="308" t="s">
        <v>86</v>
      </c>
      <c r="J354" s="284">
        <v>10</v>
      </c>
      <c r="K354" s="309">
        <f t="shared" si="849"/>
        <v>2026</v>
      </c>
      <c r="N354" s="285">
        <v>17780</v>
      </c>
      <c r="P354" s="286">
        <f t="shared" ref="P354" si="873">N354-N354*G354</f>
        <v>17780</v>
      </c>
      <c r="Q354" s="286">
        <f t="shared" ref="Q354" si="874">P354/J354/12</f>
        <v>148.16666666666666</v>
      </c>
      <c r="R354" s="286">
        <f t="shared" ref="R354" si="875">IF(O354&gt;0,0,IF(OR(AD354&gt;AE354,AF354&lt;AG354),0,IF(AND(AF354&gt;=AG354,AF354&lt;=AE354),Q354*((AF354-AG354)*12),IF(AND(AG354&lt;=AD354,AE354&gt;=AD354),((AE354-AD354)*12)*Q354,IF(AF354&gt;AE354,12*Q354,0)))))</f>
        <v>1778</v>
      </c>
      <c r="T354" s="286">
        <f t="shared" ref="T354" si="876">IF(S354&gt;0,S354,R354)</f>
        <v>1778</v>
      </c>
      <c r="U354" s="286">
        <v>1</v>
      </c>
      <c r="V354" s="286">
        <f t="shared" ref="V354" si="877">U354*SUM(R354:S354)</f>
        <v>1778</v>
      </c>
      <c r="W354" s="286"/>
      <c r="X354" s="286">
        <f t="shared" ref="X354" si="878">IF(AD354&gt;AE354,0,IF(AF354&lt;AG354,P354,IF(AND(AF354&gt;=AG354,AF354&lt;=AE354),(P354-T354),IF(AND(AG354&lt;=AD354,AE354&gt;=AD354),0,IF(AF354&gt;AE354,((AG354-AD354)*12)*Q354,0)))))</f>
        <v>1778</v>
      </c>
      <c r="Y354" s="286">
        <f t="shared" ref="Y354" si="879">X354*U354</f>
        <v>1778</v>
      </c>
      <c r="Z354" s="286">
        <v>1</v>
      </c>
      <c r="AA354" s="286">
        <f t="shared" ref="AA354" si="880">Y354*Z354</f>
        <v>1778</v>
      </c>
      <c r="AB354" s="286">
        <f t="shared" ref="AB354" si="881">IF(O354&gt;0,0,AA354+V354*Z354)*Z354</f>
        <v>3556</v>
      </c>
      <c r="AC354" s="286">
        <f t="shared" ref="AC354" si="882">IF(O354&gt;0,(N354-AA354)/2,IF(AD354&gt;=AG354,(((N354*U354)*Z354)-AB354)/2,((((N354*U354)*Z354)-AA354)+(((N354*U354)*Z354)-AB354))/2))</f>
        <v>15113</v>
      </c>
      <c r="AD354" s="286">
        <f t="shared" si="860"/>
        <v>2016</v>
      </c>
      <c r="AE354" s="286">
        <f t="shared" si="832"/>
        <v>2018</v>
      </c>
      <c r="AF354" s="286">
        <f t="shared" si="861"/>
        <v>2026</v>
      </c>
      <c r="AG354" s="286">
        <f t="shared" si="833"/>
        <v>2017</v>
      </c>
      <c r="AH354" s="286">
        <f t="shared" si="862"/>
        <v>-8.3333333333333329E-2</v>
      </c>
      <c r="AJ354" s="11">
        <f t="shared" si="844"/>
        <v>0</v>
      </c>
      <c r="AL354" s="11">
        <f t="shared" si="845"/>
        <v>1778</v>
      </c>
      <c r="AN354" s="11">
        <f t="shared" si="846"/>
        <v>0</v>
      </c>
      <c r="AP354" s="11">
        <f t="shared" si="847"/>
        <v>0</v>
      </c>
      <c r="AR354" s="11">
        <f t="shared" si="848"/>
        <v>15113</v>
      </c>
    </row>
    <row r="355" spans="1:44">
      <c r="G355" s="307"/>
      <c r="H355" s="286"/>
      <c r="I355" s="308"/>
      <c r="K355" s="309"/>
      <c r="P355" s="286"/>
      <c r="Q355" s="286"/>
      <c r="R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</row>
    <row r="356" spans="1:44">
      <c r="C356" s="311"/>
      <c r="D356" s="311" t="s">
        <v>25</v>
      </c>
      <c r="H356" s="286"/>
      <c r="I356" s="308"/>
      <c r="K356" s="309"/>
      <c r="N356" s="319">
        <f>SUM(N342:N355)</f>
        <v>240064.7</v>
      </c>
      <c r="O356" s="327"/>
      <c r="P356" s="315">
        <f>SUM(P342:P355)</f>
        <v>240064.7</v>
      </c>
      <c r="Q356" s="315">
        <f>SUM(Q342:Q355)</f>
        <v>2000.5391666666667</v>
      </c>
      <c r="R356" s="315">
        <f>SUM(R342:R355)</f>
        <v>19875.27</v>
      </c>
      <c r="S356" s="315">
        <f>SUM(S342:S355)</f>
        <v>0</v>
      </c>
      <c r="T356" s="315">
        <f>SUM(T342:T355)</f>
        <v>19875.27</v>
      </c>
      <c r="U356" s="315"/>
      <c r="V356" s="315">
        <f t="shared" ref="V356:AC356" si="883">SUM(V342:V355)</f>
        <v>19875.27</v>
      </c>
      <c r="W356" s="315">
        <f t="shared" si="883"/>
        <v>0</v>
      </c>
      <c r="X356" s="315">
        <f t="shared" si="883"/>
        <v>72009.328333334313</v>
      </c>
      <c r="Y356" s="315">
        <f t="shared" si="883"/>
        <v>72009.328333334313</v>
      </c>
      <c r="Z356" s="315">
        <f t="shared" si="883"/>
        <v>11</v>
      </c>
      <c r="AA356" s="315">
        <f t="shared" si="883"/>
        <v>72009.328333334313</v>
      </c>
      <c r="AB356" s="315">
        <f t="shared" si="883"/>
        <v>91884.598333334317</v>
      </c>
      <c r="AC356" s="315">
        <f t="shared" si="883"/>
        <v>158117.73666666567</v>
      </c>
      <c r="AD356" s="323"/>
      <c r="AE356" s="323"/>
      <c r="AF356" s="323"/>
      <c r="AG356" s="323"/>
      <c r="AH356" s="323"/>
    </row>
    <row r="357" spans="1:44">
      <c r="C357" s="311"/>
      <c r="D357" s="311"/>
      <c r="H357" s="286"/>
      <c r="I357" s="308"/>
      <c r="K357" s="309"/>
      <c r="N357" s="330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  <c r="AD357" s="286"/>
      <c r="AE357" s="286"/>
      <c r="AF357" s="286"/>
      <c r="AG357" s="286"/>
      <c r="AH357" s="286"/>
    </row>
    <row r="358" spans="1:44">
      <c r="C358" s="311"/>
      <c r="D358" s="311" t="s">
        <v>431</v>
      </c>
      <c r="H358" s="286"/>
      <c r="I358" s="308"/>
      <c r="K358" s="309"/>
      <c r="N358" s="330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  <c r="AD358" s="286"/>
      <c r="AE358" s="286"/>
      <c r="AF358" s="286"/>
      <c r="AG358" s="286"/>
      <c r="AH358" s="286"/>
    </row>
    <row r="359" spans="1:44">
      <c r="A359" s="282">
        <v>183698</v>
      </c>
      <c r="C359" s="282">
        <v>1120</v>
      </c>
      <c r="D359" s="282" t="s">
        <v>362</v>
      </c>
      <c r="E359" s="282">
        <v>2017</v>
      </c>
      <c r="F359" s="284">
        <v>6</v>
      </c>
      <c r="G359" s="307">
        <v>0</v>
      </c>
      <c r="H359" s="286"/>
      <c r="I359" s="308" t="s">
        <v>86</v>
      </c>
      <c r="J359" s="284">
        <v>5</v>
      </c>
      <c r="K359" s="309">
        <f>E359+J359</f>
        <v>2022</v>
      </c>
      <c r="N359" s="285">
        <v>30380</v>
      </c>
      <c r="P359" s="286">
        <f>N359-N359*G359</f>
        <v>30380</v>
      </c>
      <c r="Q359" s="286">
        <f>P359/J359/12</f>
        <v>506.33333333333331</v>
      </c>
      <c r="R359" s="286">
        <f t="shared" ref="R359" si="884">IF(O359&gt;0,0,IF(OR(AD359&gt;AE359,AF359&lt;AG359),0,IF(AND(AF359&gt;=AG359,AF359&lt;=AE359),Q359*((AF359-AG359)*12),IF(AND(AG359&lt;=AD359,AE359&gt;=AD359),((AE359-AD359)*12)*Q359,IF(AF359&gt;AE359,12*Q359,0)))))</f>
        <v>3544.3333333328728</v>
      </c>
      <c r="T359" s="286">
        <f t="shared" ref="T359" si="885">IF(S359&gt;0,S359,R359)</f>
        <v>3544.3333333328728</v>
      </c>
      <c r="U359" s="286">
        <v>1</v>
      </c>
      <c r="V359" s="286">
        <f t="shared" ref="V359" si="886">U359*SUM(R359:S359)</f>
        <v>3544.3333333328728</v>
      </c>
      <c r="W359" s="286"/>
      <c r="X359" s="286">
        <f t="shared" ref="X359" si="887">IF(AD359&gt;AE359,0,IF(AF359&lt;AG359,P359,IF(AND(AF359&gt;=AG359,AF359&lt;=AE359),(P359-T359),IF(AND(AG359&lt;=AD359,AE359&gt;=AD359),0,IF(AF359&gt;AE359,((AG359-AD359)*12)*Q359,0)))))</f>
        <v>0</v>
      </c>
      <c r="Y359" s="286">
        <f t="shared" ref="Y359" si="888">X359*U359</f>
        <v>0</v>
      </c>
      <c r="Z359" s="286">
        <v>1</v>
      </c>
      <c r="AA359" s="286">
        <f t="shared" ref="AA359" si="889">Y359*Z359</f>
        <v>0</v>
      </c>
      <c r="AB359" s="286">
        <f t="shared" ref="AB359" si="890">IF(O359&gt;0,0,AA359+V359*Z359)*Z359</f>
        <v>3544.3333333328728</v>
      </c>
      <c r="AC359" s="286">
        <f t="shared" ref="AC359" si="891">IF(O359&gt;0,(N359-AA359)/2,IF(AD359&gt;=AG359,(((N359*U359)*Z359)-AB359)/2,((((N359*U359)*Z359)-AA359)+(((N359*U359)*Z359)-AB359))/2))</f>
        <v>13417.833333333563</v>
      </c>
      <c r="AD359" s="286">
        <f>$E359+(($F359-1)/12)</f>
        <v>2017.4166666666667</v>
      </c>
      <c r="AE359" s="286">
        <f t="shared" si="783"/>
        <v>2018</v>
      </c>
      <c r="AF359" s="286">
        <f>$K359+(($F359-1)/12)</f>
        <v>2022.4166666666667</v>
      </c>
      <c r="AG359" s="286">
        <f t="shared" si="784"/>
        <v>2017</v>
      </c>
      <c r="AH359" s="286">
        <f>$L359+(($M359-1)/12)</f>
        <v>-8.3333333333333329E-2</v>
      </c>
      <c r="AJ359" s="11">
        <f t="shared" ref="AJ359:AJ362" si="892">+IF((AF359-AG359)&gt;3,((N359-P359)/(AF359-AG359)),(N359-P359)/3)</f>
        <v>0</v>
      </c>
      <c r="AL359" s="11">
        <f t="shared" ref="AL359:AL362" si="893">+AJ359+R359</f>
        <v>3544.3333333328728</v>
      </c>
      <c r="AN359" s="11">
        <f t="shared" ref="AN359:AN362" si="894">+IF(AF359&lt;AG359,-AC359,0)</f>
        <v>0</v>
      </c>
      <c r="AP359" s="11">
        <f t="shared" ref="AP359:AP362" si="895">+IF(AF359&gt;AG359,IF(AJ359&gt;0,IF(O359&gt;0,(N359-AA359)/2,IF(AD359&gt;=AG359,(((N359*U359)*Z359)-(AB359+AJ359))/2,((((N359*U359)*Z359)-AA359)+(((N359*U359)*Z359)-(AB359+AJ359)))/2)),0),0)</f>
        <v>0</v>
      </c>
      <c r="AR359" s="11">
        <f t="shared" ref="AR359:AR362" si="896">+AC359+AN359+(IF(AP359&gt;0,(AP359-AC359),0))</f>
        <v>13417.833333333563</v>
      </c>
    </row>
    <row r="360" spans="1:44">
      <c r="A360" s="282">
        <v>183694</v>
      </c>
      <c r="C360" s="282">
        <v>215</v>
      </c>
      <c r="D360" s="282" t="s">
        <v>367</v>
      </c>
      <c r="E360" s="282">
        <v>2017</v>
      </c>
      <c r="F360" s="284">
        <v>6</v>
      </c>
      <c r="G360" s="307">
        <v>0</v>
      </c>
      <c r="H360" s="286"/>
      <c r="I360" s="308" t="s">
        <v>86</v>
      </c>
      <c r="J360" s="284">
        <v>5</v>
      </c>
      <c r="K360" s="309">
        <f>E360+J360</f>
        <v>2022</v>
      </c>
      <c r="N360" s="285">
        <v>6415.06</v>
      </c>
      <c r="P360" s="286">
        <f>N360-N360*G360</f>
        <v>6415.06</v>
      </c>
      <c r="Q360" s="286">
        <f>P360/J360/12</f>
        <v>106.91766666666668</v>
      </c>
      <c r="R360" s="286">
        <f t="shared" ref="R360" si="897">IF(O360&gt;0,0,IF(OR(AD360&gt;AE360,AF360&lt;AG360),0,IF(AND(AF360&gt;=AG360,AF360&lt;=AE360),Q360*((AF360-AG360)*12),IF(AND(AG360&lt;=AD360,AE360&gt;=AD360),((AE360-AD360)*12)*Q360,IF(AF360&gt;AE360,12*Q360,0)))))</f>
        <v>748.42366666656949</v>
      </c>
      <c r="T360" s="286">
        <f t="shared" ref="T360" si="898">IF(S360&gt;0,S360,R360)</f>
        <v>748.42366666656949</v>
      </c>
      <c r="U360" s="286">
        <v>1</v>
      </c>
      <c r="V360" s="286">
        <f t="shared" ref="V360" si="899">U360*SUM(R360:S360)</f>
        <v>748.42366666656949</v>
      </c>
      <c r="W360" s="286"/>
      <c r="X360" s="286">
        <f t="shared" ref="X360" si="900">IF(AD360&gt;AE360,0,IF(AF360&lt;AG360,P360,IF(AND(AF360&gt;=AG360,AF360&lt;=AE360),(P360-T360),IF(AND(AG360&lt;=AD360,AE360&gt;=AD360),0,IF(AF360&gt;AE360,((AG360-AD360)*12)*Q360,0)))))</f>
        <v>0</v>
      </c>
      <c r="Y360" s="286">
        <f t="shared" ref="Y360" si="901">X360*U360</f>
        <v>0</v>
      </c>
      <c r="Z360" s="286">
        <v>1</v>
      </c>
      <c r="AA360" s="286">
        <f t="shared" ref="AA360" si="902">Y360*Z360</f>
        <v>0</v>
      </c>
      <c r="AB360" s="286">
        <f t="shared" ref="AB360" si="903">IF(O360&gt;0,0,AA360+V360*Z360)*Z360</f>
        <v>748.42366666656949</v>
      </c>
      <c r="AC360" s="286">
        <f t="shared" ref="AC360" si="904">IF(O360&gt;0,(N360-AA360)/2,IF(AD360&gt;=AG360,(((N360*U360)*Z360)-AB360)/2,((((N360*U360)*Z360)-AA360)+(((N360*U360)*Z360)-AB360))/2))</f>
        <v>2833.3181666667156</v>
      </c>
      <c r="AD360" s="286">
        <f>$E360+(($F360-1)/12)</f>
        <v>2017.4166666666667</v>
      </c>
      <c r="AE360" s="286">
        <f t="shared" si="783"/>
        <v>2018</v>
      </c>
      <c r="AF360" s="286">
        <f>$K360+(($F360-1)/12)</f>
        <v>2022.4166666666667</v>
      </c>
      <c r="AG360" s="286">
        <f t="shared" si="784"/>
        <v>2017</v>
      </c>
      <c r="AH360" s="286">
        <f>$L360+(($M360-1)/12)</f>
        <v>-8.3333333333333329E-2</v>
      </c>
      <c r="AJ360" s="11">
        <f t="shared" si="892"/>
        <v>0</v>
      </c>
      <c r="AL360" s="11">
        <f t="shared" si="893"/>
        <v>748.42366666656949</v>
      </c>
      <c r="AN360" s="11">
        <f t="shared" si="894"/>
        <v>0</v>
      </c>
      <c r="AP360" s="11">
        <f t="shared" si="895"/>
        <v>0</v>
      </c>
      <c r="AR360" s="11">
        <f t="shared" si="896"/>
        <v>2833.3181666667156</v>
      </c>
    </row>
    <row r="361" spans="1:44">
      <c r="A361" s="282">
        <v>183696</v>
      </c>
      <c r="C361" s="282">
        <v>1120</v>
      </c>
      <c r="D361" s="329" t="s">
        <v>363</v>
      </c>
      <c r="E361" s="282">
        <v>2017</v>
      </c>
      <c r="F361" s="284">
        <v>6</v>
      </c>
      <c r="G361" s="307">
        <v>0</v>
      </c>
      <c r="H361" s="286"/>
      <c r="I361" s="308" t="s">
        <v>86</v>
      </c>
      <c r="J361" s="284">
        <v>5</v>
      </c>
      <c r="K361" s="309">
        <f>E361+J361</f>
        <v>2022</v>
      </c>
      <c r="N361" s="285">
        <v>30380</v>
      </c>
      <c r="P361" s="286">
        <f>N361-N361*G361</f>
        <v>30380</v>
      </c>
      <c r="Q361" s="286">
        <f>P361/J361/12</f>
        <v>506.33333333333331</v>
      </c>
      <c r="R361" s="286">
        <f t="shared" ref="R361" si="905">IF(O361&gt;0,0,IF(OR(AD361&gt;AE361,AF361&lt;AG361),0,IF(AND(AF361&gt;=AG361,AF361&lt;=AE361),Q361*((AF361-AG361)*12),IF(AND(AG361&lt;=AD361,AE361&gt;=AD361),((AE361-AD361)*12)*Q361,IF(AF361&gt;AE361,12*Q361,0)))))</f>
        <v>3544.3333333328728</v>
      </c>
      <c r="T361" s="286">
        <f t="shared" ref="T361" si="906">IF(S361&gt;0,S361,R361)</f>
        <v>3544.3333333328728</v>
      </c>
      <c r="U361" s="286">
        <v>1</v>
      </c>
      <c r="V361" s="286">
        <f t="shared" ref="V361" si="907">U361*SUM(R361:S361)</f>
        <v>3544.3333333328728</v>
      </c>
      <c r="W361" s="286"/>
      <c r="X361" s="286">
        <f t="shared" ref="X361" si="908">IF(AD361&gt;AE361,0,IF(AF361&lt;AG361,P361,IF(AND(AF361&gt;=AG361,AF361&lt;=AE361),(P361-T361),IF(AND(AG361&lt;=AD361,AE361&gt;=AD361),0,IF(AF361&gt;AE361,((AG361-AD361)*12)*Q361,0)))))</f>
        <v>0</v>
      </c>
      <c r="Y361" s="286">
        <f t="shared" ref="Y361" si="909">X361*U361</f>
        <v>0</v>
      </c>
      <c r="Z361" s="286">
        <v>1</v>
      </c>
      <c r="AA361" s="286">
        <f t="shared" ref="AA361" si="910">Y361*Z361</f>
        <v>0</v>
      </c>
      <c r="AB361" s="286">
        <f t="shared" ref="AB361" si="911">IF(O361&gt;0,0,AA361+V361*Z361)*Z361</f>
        <v>3544.3333333328728</v>
      </c>
      <c r="AC361" s="286">
        <f t="shared" ref="AC361" si="912">IF(O361&gt;0,(N361-AA361)/2,IF(AD361&gt;=AG361,(((N361*U361)*Z361)-AB361)/2,((((N361*U361)*Z361)-AA361)+(((N361*U361)*Z361)-AB361))/2))</f>
        <v>13417.833333333563</v>
      </c>
      <c r="AD361" s="286">
        <f>$E361+(($F361-1)/12)</f>
        <v>2017.4166666666667</v>
      </c>
      <c r="AE361" s="286">
        <f t="shared" si="832"/>
        <v>2018</v>
      </c>
      <c r="AF361" s="286">
        <f>$K361+(($F361-1)/12)</f>
        <v>2022.4166666666667</v>
      </c>
      <c r="AG361" s="286">
        <f t="shared" si="833"/>
        <v>2017</v>
      </c>
      <c r="AH361" s="286">
        <f>$L361+(($M361-1)/12)</f>
        <v>-8.3333333333333329E-2</v>
      </c>
      <c r="AJ361" s="11">
        <f t="shared" si="892"/>
        <v>0</v>
      </c>
      <c r="AL361" s="11">
        <f t="shared" si="893"/>
        <v>3544.3333333328728</v>
      </c>
      <c r="AN361" s="11">
        <f t="shared" si="894"/>
        <v>0</v>
      </c>
      <c r="AP361" s="11">
        <f t="shared" si="895"/>
        <v>0</v>
      </c>
      <c r="AR361" s="11">
        <f t="shared" si="896"/>
        <v>13417.833333333563</v>
      </c>
    </row>
    <row r="362" spans="1:44">
      <c r="A362" s="282">
        <v>183689</v>
      </c>
      <c r="C362" s="282">
        <v>215</v>
      </c>
      <c r="D362" s="329" t="s">
        <v>374</v>
      </c>
      <c r="E362" s="282">
        <v>2017</v>
      </c>
      <c r="F362" s="284">
        <v>6</v>
      </c>
      <c r="G362" s="307">
        <v>0</v>
      </c>
      <c r="H362" s="286"/>
      <c r="I362" s="308" t="s">
        <v>86</v>
      </c>
      <c r="J362" s="284">
        <v>5</v>
      </c>
      <c r="K362" s="309">
        <f>E362+J362</f>
        <v>2022</v>
      </c>
      <c r="N362" s="285">
        <v>6415.06</v>
      </c>
      <c r="P362" s="286">
        <f>N362-N362*G362</f>
        <v>6415.06</v>
      </c>
      <c r="Q362" s="286">
        <f>P362/J362/12</f>
        <v>106.91766666666668</v>
      </c>
      <c r="R362" s="286">
        <f t="shared" ref="R362" si="913">IF(O362&gt;0,0,IF(OR(AD362&gt;AE362,AF362&lt;AG362),0,IF(AND(AF362&gt;=AG362,AF362&lt;=AE362),Q362*((AF362-AG362)*12),IF(AND(AG362&lt;=AD362,AE362&gt;=AD362),((AE362-AD362)*12)*Q362,IF(AF362&gt;AE362,12*Q362,0)))))</f>
        <v>748.42366666656949</v>
      </c>
      <c r="T362" s="286">
        <f t="shared" ref="T362" si="914">IF(S362&gt;0,S362,R362)</f>
        <v>748.42366666656949</v>
      </c>
      <c r="U362" s="286">
        <v>1</v>
      </c>
      <c r="V362" s="286">
        <f t="shared" ref="V362" si="915">U362*SUM(R362:S362)</f>
        <v>748.42366666656949</v>
      </c>
      <c r="W362" s="286"/>
      <c r="X362" s="286">
        <f t="shared" ref="X362" si="916">IF(AD362&gt;AE362,0,IF(AF362&lt;AG362,P362,IF(AND(AF362&gt;=AG362,AF362&lt;=AE362),(P362-T362),IF(AND(AG362&lt;=AD362,AE362&gt;=AD362),0,IF(AF362&gt;AE362,((AG362-AD362)*12)*Q362,0)))))</f>
        <v>0</v>
      </c>
      <c r="Y362" s="286">
        <f t="shared" ref="Y362" si="917">X362*U362</f>
        <v>0</v>
      </c>
      <c r="Z362" s="286">
        <v>1</v>
      </c>
      <c r="AA362" s="286">
        <f t="shared" ref="AA362" si="918">Y362*Z362</f>
        <v>0</v>
      </c>
      <c r="AB362" s="286">
        <f t="shared" ref="AB362" si="919">IF(O362&gt;0,0,AA362+V362*Z362)*Z362</f>
        <v>748.42366666656949</v>
      </c>
      <c r="AC362" s="286">
        <f t="shared" ref="AC362" si="920">IF(O362&gt;0,(N362-AA362)/2,IF(AD362&gt;=AG362,(((N362*U362)*Z362)-AB362)/2,((((N362*U362)*Z362)-AA362)+(((N362*U362)*Z362)-AB362))/2))</f>
        <v>2833.3181666667156</v>
      </c>
      <c r="AD362" s="286">
        <f>$E362+(($F362-1)/12)</f>
        <v>2017.4166666666667</v>
      </c>
      <c r="AE362" s="286">
        <f t="shared" si="832"/>
        <v>2018</v>
      </c>
      <c r="AF362" s="286">
        <f>$K362+(($F362-1)/12)</f>
        <v>2022.4166666666667</v>
      </c>
      <c r="AG362" s="286">
        <f t="shared" si="833"/>
        <v>2017</v>
      </c>
      <c r="AH362" s="286">
        <f>$L362+(($M362-1)/12)</f>
        <v>-8.3333333333333329E-2</v>
      </c>
      <c r="AJ362" s="11">
        <f t="shared" si="892"/>
        <v>0</v>
      </c>
      <c r="AL362" s="11">
        <f t="shared" si="893"/>
        <v>748.42366666656949</v>
      </c>
      <c r="AN362" s="11">
        <f t="shared" si="894"/>
        <v>0</v>
      </c>
      <c r="AP362" s="11">
        <f t="shared" si="895"/>
        <v>0</v>
      </c>
      <c r="AR362" s="11">
        <f t="shared" si="896"/>
        <v>2833.3181666667156</v>
      </c>
    </row>
    <row r="363" spans="1:44">
      <c r="C363" s="311"/>
      <c r="D363" s="311"/>
      <c r="H363" s="286"/>
      <c r="I363" s="308"/>
      <c r="K363" s="309"/>
      <c r="N363" s="330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286"/>
      <c r="AE363" s="286"/>
      <c r="AF363" s="286"/>
      <c r="AG363" s="286"/>
      <c r="AH363" s="286"/>
    </row>
    <row r="364" spans="1:44">
      <c r="C364" s="311"/>
      <c r="D364" s="311"/>
      <c r="H364" s="286"/>
      <c r="I364" s="308"/>
      <c r="K364" s="309"/>
      <c r="N364" s="319">
        <f>+SUM(N359:N363)</f>
        <v>73590.12</v>
      </c>
      <c r="O364" s="327"/>
      <c r="P364" s="319">
        <f>+SUM(P359:P363)</f>
        <v>73590.12</v>
      </c>
      <c r="Q364" s="319">
        <f>+SUM(Q359:Q363)</f>
        <v>1226.502</v>
      </c>
      <c r="R364" s="319">
        <f>+SUM(R359:R363)</f>
        <v>8585.5139999988842</v>
      </c>
      <c r="S364" s="315"/>
      <c r="T364" s="319">
        <f>+SUM(T359:T363)</f>
        <v>8585.5139999988842</v>
      </c>
      <c r="U364" s="315"/>
      <c r="V364" s="319">
        <f>+SUM(V359:V363)</f>
        <v>8585.5139999988842</v>
      </c>
      <c r="W364" s="315"/>
      <c r="X364" s="319">
        <f t="shared" ref="X364:AC364" si="921">+SUM(X359:X363)</f>
        <v>0</v>
      </c>
      <c r="Y364" s="319">
        <f t="shared" si="921"/>
        <v>0</v>
      </c>
      <c r="Z364" s="319">
        <f t="shared" si="921"/>
        <v>4</v>
      </c>
      <c r="AA364" s="319">
        <f t="shared" si="921"/>
        <v>0</v>
      </c>
      <c r="AB364" s="319">
        <f t="shared" si="921"/>
        <v>8585.5139999988842</v>
      </c>
      <c r="AC364" s="319">
        <f t="shared" si="921"/>
        <v>32502.303000000556</v>
      </c>
      <c r="AD364" s="323"/>
      <c r="AE364" s="323"/>
      <c r="AF364" s="323"/>
      <c r="AG364" s="323"/>
      <c r="AH364" s="323"/>
      <c r="AJ364" s="7">
        <f t="shared" ref="AJ364:AR364" si="922">+SUM(AJ359:AJ363)</f>
        <v>0</v>
      </c>
      <c r="AK364" s="7">
        <f t="shared" si="922"/>
        <v>0</v>
      </c>
      <c r="AL364" s="7">
        <f t="shared" si="922"/>
        <v>8585.5139999988842</v>
      </c>
      <c r="AM364" s="7">
        <f t="shared" si="922"/>
        <v>0</v>
      </c>
      <c r="AN364" s="7">
        <f t="shared" si="922"/>
        <v>0</v>
      </c>
      <c r="AO364" s="7">
        <f t="shared" si="922"/>
        <v>0</v>
      </c>
      <c r="AP364" s="7">
        <f t="shared" si="922"/>
        <v>0</v>
      </c>
      <c r="AQ364" s="7">
        <f t="shared" si="922"/>
        <v>0</v>
      </c>
      <c r="AR364" s="7">
        <f t="shared" si="922"/>
        <v>32502.303000000556</v>
      </c>
    </row>
    <row r="365" spans="1:44">
      <c r="C365" s="311"/>
      <c r="D365" s="311"/>
      <c r="H365" s="286"/>
      <c r="I365" s="308"/>
      <c r="K365" s="309"/>
      <c r="N365" s="330"/>
      <c r="P365" s="317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  <c r="AA365" s="317"/>
      <c r="AB365" s="317"/>
      <c r="AC365" s="317"/>
      <c r="AD365" s="286"/>
      <c r="AE365" s="286"/>
      <c r="AF365" s="286"/>
      <c r="AG365" s="286"/>
      <c r="AH365" s="286"/>
    </row>
    <row r="366" spans="1:44">
      <c r="C366" s="311"/>
      <c r="D366" s="311" t="s">
        <v>365</v>
      </c>
      <c r="H366" s="286"/>
      <c r="I366" s="308"/>
      <c r="K366" s="309"/>
      <c r="N366" s="330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7"/>
      <c r="AB366" s="317"/>
      <c r="AC366" s="317"/>
      <c r="AD366" s="286"/>
      <c r="AE366" s="286"/>
      <c r="AF366" s="286"/>
      <c r="AG366" s="286"/>
      <c r="AH366" s="286"/>
    </row>
    <row r="369" spans="1:44">
      <c r="C369" s="311"/>
      <c r="D369" s="311"/>
      <c r="H369" s="286"/>
      <c r="I369" s="308"/>
      <c r="K369" s="309"/>
      <c r="N369" s="330"/>
      <c r="P369" s="317"/>
      <c r="Q369" s="317"/>
      <c r="R369" s="317"/>
      <c r="S369" s="317"/>
      <c r="T369" s="317"/>
      <c r="U369" s="317"/>
      <c r="V369" s="317"/>
      <c r="W369" s="317"/>
      <c r="X369" s="317"/>
      <c r="Y369" s="317"/>
      <c r="Z369" s="317"/>
      <c r="AA369" s="317"/>
      <c r="AB369" s="317"/>
      <c r="AC369" s="317"/>
      <c r="AD369" s="286"/>
      <c r="AE369" s="286"/>
      <c r="AF369" s="286"/>
      <c r="AG369" s="286"/>
      <c r="AH369" s="286"/>
    </row>
    <row r="370" spans="1:44">
      <c r="C370" s="311"/>
      <c r="D370" s="311"/>
      <c r="H370" s="286"/>
      <c r="I370" s="308"/>
      <c r="K370" s="309"/>
      <c r="N370" s="319">
        <f>+SUM(N367:N369)</f>
        <v>0</v>
      </c>
      <c r="O370" s="319">
        <f t="shared" ref="O370:AC370" si="923">+SUM(O367:O369)</f>
        <v>0</v>
      </c>
      <c r="P370" s="319">
        <f t="shared" si="923"/>
        <v>0</v>
      </c>
      <c r="Q370" s="319">
        <f t="shared" si="923"/>
        <v>0</v>
      </c>
      <c r="R370" s="319">
        <f t="shared" si="923"/>
        <v>0</v>
      </c>
      <c r="S370" s="319">
        <f t="shared" si="923"/>
        <v>0</v>
      </c>
      <c r="T370" s="319">
        <f t="shared" si="923"/>
        <v>0</v>
      </c>
      <c r="U370" s="319">
        <f t="shared" si="923"/>
        <v>0</v>
      </c>
      <c r="V370" s="319">
        <f t="shared" si="923"/>
        <v>0</v>
      </c>
      <c r="W370" s="319">
        <f t="shared" si="923"/>
        <v>0</v>
      </c>
      <c r="X370" s="319">
        <f t="shared" si="923"/>
        <v>0</v>
      </c>
      <c r="Y370" s="319">
        <f t="shared" si="923"/>
        <v>0</v>
      </c>
      <c r="Z370" s="319">
        <f t="shared" si="923"/>
        <v>0</v>
      </c>
      <c r="AA370" s="319">
        <f t="shared" si="923"/>
        <v>0</v>
      </c>
      <c r="AB370" s="319">
        <f t="shared" si="923"/>
        <v>0</v>
      </c>
      <c r="AC370" s="319">
        <f t="shared" si="923"/>
        <v>0</v>
      </c>
      <c r="AD370" s="323"/>
      <c r="AE370" s="323"/>
      <c r="AF370" s="323"/>
      <c r="AG370" s="323"/>
      <c r="AH370" s="323"/>
      <c r="AJ370" s="7">
        <f t="shared" ref="AJ370:AR370" si="924">+SUM(AJ367:AJ369)</f>
        <v>0</v>
      </c>
      <c r="AK370" s="7">
        <f t="shared" si="924"/>
        <v>0</v>
      </c>
      <c r="AL370" s="7">
        <f t="shared" si="924"/>
        <v>0</v>
      </c>
      <c r="AM370" s="7">
        <f t="shared" si="924"/>
        <v>0</v>
      </c>
      <c r="AN370" s="7">
        <f t="shared" si="924"/>
        <v>0</v>
      </c>
      <c r="AO370" s="7">
        <f t="shared" si="924"/>
        <v>0</v>
      </c>
      <c r="AP370" s="7">
        <f t="shared" si="924"/>
        <v>0</v>
      </c>
      <c r="AQ370" s="7">
        <f t="shared" si="924"/>
        <v>0</v>
      </c>
      <c r="AR370" s="7">
        <f t="shared" si="924"/>
        <v>0</v>
      </c>
    </row>
    <row r="371" spans="1:44">
      <c r="C371" s="311"/>
      <c r="D371" s="311" t="s">
        <v>364</v>
      </c>
      <c r="H371" s="286"/>
      <c r="I371" s="308"/>
      <c r="K371" s="309"/>
      <c r="N371" s="330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286"/>
      <c r="AE371" s="286"/>
      <c r="AF371" s="286"/>
      <c r="AG371" s="286"/>
      <c r="AH371" s="286"/>
    </row>
    <row r="372" spans="1:44">
      <c r="A372" s="282">
        <v>183695</v>
      </c>
      <c r="C372" s="282">
        <v>1700</v>
      </c>
      <c r="D372" s="282" t="s">
        <v>366</v>
      </c>
      <c r="E372" s="282">
        <v>2017</v>
      </c>
      <c r="F372" s="284">
        <v>6</v>
      </c>
      <c r="G372" s="284">
        <v>0</v>
      </c>
      <c r="H372" s="286"/>
      <c r="I372" s="308" t="s">
        <v>86</v>
      </c>
      <c r="J372" s="284">
        <v>5</v>
      </c>
      <c r="K372" s="309">
        <f>E372+J372</f>
        <v>2022</v>
      </c>
      <c r="N372" s="285">
        <v>46112.5</v>
      </c>
      <c r="P372" s="286">
        <f>N372-N372*G372</f>
        <v>46112.5</v>
      </c>
      <c r="Q372" s="286">
        <f>P372/J372/12</f>
        <v>768.54166666666663</v>
      </c>
      <c r="R372" s="286">
        <f t="shared" ref="R372" si="925">IF(O372&gt;0,0,IF(OR(AD372&gt;AE372,AF372&lt;AG372),0,IF(AND(AF372&gt;=AG372,AF372&lt;=AE372),Q372*((AF372-AG372)*12),IF(AND(AG372&lt;=AD372,AE372&gt;=AD372),((AE372-AD372)*12)*Q372,IF(AF372&gt;AE372,12*Q372,0)))))</f>
        <v>5379.7916666659676</v>
      </c>
      <c r="T372" s="286">
        <f t="shared" ref="T372" si="926">IF(S372&gt;0,S372,R372)</f>
        <v>5379.7916666659676</v>
      </c>
      <c r="U372" s="286">
        <v>1</v>
      </c>
      <c r="V372" s="286">
        <f t="shared" ref="V372" si="927">U372*SUM(R372:S372)</f>
        <v>5379.7916666659676</v>
      </c>
      <c r="W372" s="286"/>
      <c r="X372" s="286">
        <f t="shared" ref="X372" si="928">IF(AD372&gt;AE372,0,IF(AF372&lt;AG372,P372,IF(AND(AF372&gt;=AG372,AF372&lt;=AE372),(P372-T372),IF(AND(AG372&lt;=AD372,AE372&gt;=AD372),0,IF(AF372&gt;AE372,((AG372-AD372)*12)*Q372,0)))))</f>
        <v>0</v>
      </c>
      <c r="Y372" s="286">
        <f t="shared" ref="Y372" si="929">X372*U372</f>
        <v>0</v>
      </c>
      <c r="Z372" s="286">
        <v>1</v>
      </c>
      <c r="AA372" s="286">
        <f t="shared" ref="AA372" si="930">Y372*Z372</f>
        <v>0</v>
      </c>
      <c r="AB372" s="286">
        <f t="shared" ref="AB372" si="931">IF(O372&gt;0,0,AA372+V372*Z372)*Z372</f>
        <v>5379.7916666659676</v>
      </c>
      <c r="AC372" s="286">
        <f t="shared" ref="AC372" si="932">IF(O372&gt;0,(N372-AA372)/2,IF(AD372&gt;=AG372,(((N372*U372)*Z372)-AB372)/2,((((N372*U372)*Z372)-AA372)+(((N372*U372)*Z372)-AB372))/2))</f>
        <v>20366.354166667017</v>
      </c>
      <c r="AD372" s="286">
        <f>$E372+(($F372-1)/12)</f>
        <v>2017.4166666666667</v>
      </c>
      <c r="AE372" s="286">
        <f t="shared" ref="AE372:AE375" si="933">($P$5+1)-($P$2/12)</f>
        <v>2018</v>
      </c>
      <c r="AF372" s="286">
        <f>$K372+(($F372-1)/12)</f>
        <v>2022.4166666666667</v>
      </c>
      <c r="AG372" s="286">
        <f t="shared" ref="AG372:AG375" si="934">$P$4+($P$3/12)</f>
        <v>2017</v>
      </c>
      <c r="AH372" s="286">
        <f>$L372+(($M372-1)/12)</f>
        <v>-8.3333333333333329E-2</v>
      </c>
      <c r="AJ372" s="11">
        <f t="shared" ref="AJ372:AJ375" si="935">+IF((AF372-AG372)&gt;3,((N372-P372)/(AF372-AG372)),(N372-P372)/3)</f>
        <v>0</v>
      </c>
      <c r="AL372" s="11">
        <f t="shared" ref="AL372:AL375" si="936">+AJ372+R372</f>
        <v>5379.7916666659676</v>
      </c>
      <c r="AN372" s="11">
        <f t="shared" ref="AN372:AN375" si="937">+IF(AF372&lt;AG372,-AC372,0)</f>
        <v>0</v>
      </c>
      <c r="AP372" s="11">
        <f t="shared" ref="AP372:AP375" si="938">+IF(AF372&gt;AG372,IF(AJ372&gt;0,IF(O372&gt;0,(N372-AA372)/2,IF(AD372&gt;=AG372,(((N372*U372)*Z372)-(AB372+AJ372))/2,((((N372*U372)*Z372)-AA372)+(((N372*U372)*Z372)-(AB372+AJ372)))/2)),0),0)</f>
        <v>0</v>
      </c>
      <c r="AR372" s="11">
        <f t="shared" ref="AR372:AR375" si="939">+AC372+AN372+(IF(AP372&gt;0,(AP372-AC372),0))</f>
        <v>20366.354166667017</v>
      </c>
    </row>
    <row r="373" spans="1:44">
      <c r="A373" s="282">
        <v>183693</v>
      </c>
      <c r="C373" s="282">
        <v>800</v>
      </c>
      <c r="D373" s="282" t="s">
        <v>368</v>
      </c>
      <c r="E373" s="282">
        <v>2017</v>
      </c>
      <c r="F373" s="284">
        <v>6</v>
      </c>
      <c r="G373" s="284">
        <v>0</v>
      </c>
      <c r="H373" s="286"/>
      <c r="I373" s="308" t="s">
        <v>86</v>
      </c>
      <c r="J373" s="284">
        <v>5</v>
      </c>
      <c r="K373" s="309">
        <f>E373+J373</f>
        <v>2022</v>
      </c>
      <c r="N373" s="285">
        <v>21700</v>
      </c>
      <c r="P373" s="286">
        <f>N373-N373*G373</f>
        <v>21700</v>
      </c>
      <c r="Q373" s="286">
        <f>P373/J373/12</f>
        <v>361.66666666666669</v>
      </c>
      <c r="R373" s="286">
        <f t="shared" ref="R373" si="940">IF(O373&gt;0,0,IF(OR(AD373&gt;AE373,AF373&lt;AG373),0,IF(AND(AF373&gt;=AG373,AF373&lt;=AE373),Q373*((AF373-AG373)*12),IF(AND(AG373&lt;=AD373,AE373&gt;=AD373),((AE373-AD373)*12)*Q373,IF(AF373&gt;AE373,12*Q373,0)))))</f>
        <v>2531.6666666663377</v>
      </c>
      <c r="T373" s="286">
        <f t="shared" ref="T373" si="941">IF(S373&gt;0,S373,R373)</f>
        <v>2531.6666666663377</v>
      </c>
      <c r="U373" s="286">
        <v>1</v>
      </c>
      <c r="V373" s="286">
        <f t="shared" ref="V373" si="942">U373*SUM(R373:S373)</f>
        <v>2531.6666666663377</v>
      </c>
      <c r="W373" s="286"/>
      <c r="X373" s="286">
        <f t="shared" ref="X373" si="943">IF(AD373&gt;AE373,0,IF(AF373&lt;AG373,P373,IF(AND(AF373&gt;=AG373,AF373&lt;=AE373),(P373-T373),IF(AND(AG373&lt;=AD373,AE373&gt;=AD373),0,IF(AF373&gt;AE373,((AG373-AD373)*12)*Q373,0)))))</f>
        <v>0</v>
      </c>
      <c r="Y373" s="286">
        <f t="shared" ref="Y373" si="944">X373*U373</f>
        <v>0</v>
      </c>
      <c r="Z373" s="286">
        <v>1</v>
      </c>
      <c r="AA373" s="286">
        <f t="shared" ref="AA373" si="945">Y373*Z373</f>
        <v>0</v>
      </c>
      <c r="AB373" s="286">
        <f t="shared" ref="AB373" si="946">IF(O373&gt;0,0,AA373+V373*Z373)*Z373</f>
        <v>2531.6666666663377</v>
      </c>
      <c r="AC373" s="286">
        <f t="shared" ref="AC373" si="947">IF(O373&gt;0,(N373-AA373)/2,IF(AD373&gt;=AG373,(((N373*U373)*Z373)-AB373)/2,((((N373*U373)*Z373)-AA373)+(((N373*U373)*Z373)-AB373))/2))</f>
        <v>9584.1666666668316</v>
      </c>
      <c r="AD373" s="286">
        <f>$E373+(($F373-1)/12)</f>
        <v>2017.4166666666667</v>
      </c>
      <c r="AE373" s="286">
        <f t="shared" si="933"/>
        <v>2018</v>
      </c>
      <c r="AF373" s="286">
        <f>$K373+(($F373-1)/12)</f>
        <v>2022.4166666666667</v>
      </c>
      <c r="AG373" s="286">
        <f t="shared" si="934"/>
        <v>2017</v>
      </c>
      <c r="AH373" s="286">
        <f>$L373+(($M373-1)/12)</f>
        <v>-8.3333333333333329E-2</v>
      </c>
      <c r="AJ373" s="11">
        <f t="shared" si="935"/>
        <v>0</v>
      </c>
      <c r="AL373" s="11">
        <f t="shared" si="936"/>
        <v>2531.6666666663377</v>
      </c>
      <c r="AN373" s="11">
        <f t="shared" si="937"/>
        <v>0</v>
      </c>
      <c r="AP373" s="11">
        <f t="shared" si="938"/>
        <v>0</v>
      </c>
      <c r="AR373" s="11">
        <f t="shared" si="939"/>
        <v>9584.1666666668316</v>
      </c>
    </row>
    <row r="374" spans="1:44">
      <c r="A374" s="282">
        <v>183692</v>
      </c>
      <c r="C374" s="282">
        <v>650</v>
      </c>
      <c r="D374" s="282" t="s">
        <v>369</v>
      </c>
      <c r="E374" s="282">
        <v>2017</v>
      </c>
      <c r="F374" s="284">
        <v>6</v>
      </c>
      <c r="G374" s="284">
        <v>0</v>
      </c>
      <c r="H374" s="286"/>
      <c r="I374" s="308" t="s">
        <v>86</v>
      </c>
      <c r="J374" s="284">
        <v>5</v>
      </c>
      <c r="K374" s="309">
        <f>E374+J374</f>
        <v>2022</v>
      </c>
      <c r="N374" s="285">
        <v>17631.25</v>
      </c>
      <c r="P374" s="286">
        <f>N374-N374*G374</f>
        <v>17631.25</v>
      </c>
      <c r="Q374" s="286">
        <f>P374/J374/12</f>
        <v>293.85416666666669</v>
      </c>
      <c r="R374" s="286">
        <f t="shared" ref="R374" si="948">IF(O374&gt;0,0,IF(OR(AD374&gt;AE374,AF374&lt;AG374),0,IF(AND(AF374&gt;=AG374,AF374&lt;=AE374),Q374*((AF374-AG374)*12),IF(AND(AG374&lt;=AD374,AE374&gt;=AD374),((AE374-AD374)*12)*Q374,IF(AF374&gt;AE374,12*Q374,0)))))</f>
        <v>2056.9791666663996</v>
      </c>
      <c r="T374" s="286">
        <f t="shared" ref="T374" si="949">IF(S374&gt;0,S374,R374)</f>
        <v>2056.9791666663996</v>
      </c>
      <c r="U374" s="286">
        <v>1</v>
      </c>
      <c r="V374" s="286">
        <f t="shared" ref="V374" si="950">U374*SUM(R374:S374)</f>
        <v>2056.9791666663996</v>
      </c>
      <c r="W374" s="286"/>
      <c r="X374" s="286">
        <f t="shared" ref="X374" si="951">IF(AD374&gt;AE374,0,IF(AF374&lt;AG374,P374,IF(AND(AF374&gt;=AG374,AF374&lt;=AE374),(P374-T374),IF(AND(AG374&lt;=AD374,AE374&gt;=AD374),0,IF(AF374&gt;AE374,((AG374-AD374)*12)*Q374,0)))))</f>
        <v>0</v>
      </c>
      <c r="Y374" s="286">
        <f t="shared" ref="Y374" si="952">X374*U374</f>
        <v>0</v>
      </c>
      <c r="Z374" s="286">
        <v>1</v>
      </c>
      <c r="AA374" s="286">
        <f t="shared" ref="AA374" si="953">Y374*Z374</f>
        <v>0</v>
      </c>
      <c r="AB374" s="286">
        <f t="shared" ref="AB374" si="954">IF(O374&gt;0,0,AA374+V374*Z374)*Z374</f>
        <v>2056.9791666663996</v>
      </c>
      <c r="AC374" s="286">
        <f t="shared" ref="AC374" si="955">IF(O374&gt;0,(N374-AA374)/2,IF(AD374&gt;=AG374,(((N374*U374)*Z374)-AB374)/2,((((N374*U374)*Z374)-AA374)+(((N374*U374)*Z374)-AB374))/2))</f>
        <v>7787.1354166668007</v>
      </c>
      <c r="AD374" s="286">
        <f>$E374+(($F374-1)/12)</f>
        <v>2017.4166666666667</v>
      </c>
      <c r="AE374" s="286">
        <f t="shared" si="933"/>
        <v>2018</v>
      </c>
      <c r="AF374" s="286">
        <f>$K374+(($F374-1)/12)</f>
        <v>2022.4166666666667</v>
      </c>
      <c r="AG374" s="286">
        <f t="shared" si="934"/>
        <v>2017</v>
      </c>
      <c r="AH374" s="286">
        <f>$L374+(($M374-1)/12)</f>
        <v>-8.3333333333333329E-2</v>
      </c>
      <c r="AJ374" s="11">
        <f t="shared" si="935"/>
        <v>0</v>
      </c>
      <c r="AL374" s="11">
        <f t="shared" si="936"/>
        <v>2056.9791666663996</v>
      </c>
      <c r="AN374" s="11">
        <f t="shared" si="937"/>
        <v>0</v>
      </c>
      <c r="AP374" s="11">
        <f t="shared" si="938"/>
        <v>0</v>
      </c>
      <c r="AR374" s="11">
        <f t="shared" si="939"/>
        <v>7787.1354166668007</v>
      </c>
    </row>
    <row r="375" spans="1:44">
      <c r="A375" s="282">
        <v>183697</v>
      </c>
      <c r="C375" s="282">
        <v>435</v>
      </c>
      <c r="D375" s="282" t="s">
        <v>389</v>
      </c>
      <c r="E375" s="282">
        <v>2017</v>
      </c>
      <c r="F375" s="284">
        <v>6</v>
      </c>
      <c r="G375" s="284">
        <v>0</v>
      </c>
      <c r="H375" s="286"/>
      <c r="I375" s="308" t="s">
        <v>86</v>
      </c>
      <c r="J375" s="284">
        <v>5</v>
      </c>
      <c r="K375" s="309">
        <f>E375+J375</f>
        <v>2022</v>
      </c>
      <c r="N375" s="285">
        <v>37975</v>
      </c>
      <c r="P375" s="286">
        <f>N375-N375*G375</f>
        <v>37975</v>
      </c>
      <c r="Q375" s="286">
        <f>P375/J375/12</f>
        <v>632.91666666666663</v>
      </c>
      <c r="R375" s="286">
        <f t="shared" ref="R375" si="956">IF(O375&gt;0,0,IF(OR(AD375&gt;AE375,AF375&lt;AG375),0,IF(AND(AF375&gt;=AG375,AF375&lt;=AE375),Q375*((AF375-AG375)*12),IF(AND(AG375&lt;=AD375,AE375&gt;=AD375),((AE375-AD375)*12)*Q375,IF(AF375&gt;AE375,12*Q375,0)))))</f>
        <v>4430.4166666660904</v>
      </c>
      <c r="T375" s="286">
        <f t="shared" ref="T375" si="957">IF(S375&gt;0,S375,R375)</f>
        <v>4430.4166666660904</v>
      </c>
      <c r="U375" s="286">
        <v>1</v>
      </c>
      <c r="V375" s="286">
        <f t="shared" ref="V375" si="958">U375*SUM(R375:S375)</f>
        <v>4430.4166666660904</v>
      </c>
      <c r="W375" s="286"/>
      <c r="X375" s="286">
        <f t="shared" ref="X375" si="959">IF(AD375&gt;AE375,0,IF(AF375&lt;AG375,P375,IF(AND(AF375&gt;=AG375,AF375&lt;=AE375),(P375-T375),IF(AND(AG375&lt;=AD375,AE375&gt;=AD375),0,IF(AF375&gt;AE375,((AG375-AD375)*12)*Q375,0)))))</f>
        <v>0</v>
      </c>
      <c r="Y375" s="286">
        <f t="shared" ref="Y375" si="960">X375*U375</f>
        <v>0</v>
      </c>
      <c r="Z375" s="286">
        <v>1</v>
      </c>
      <c r="AA375" s="286">
        <f t="shared" ref="AA375" si="961">Y375*Z375</f>
        <v>0</v>
      </c>
      <c r="AB375" s="286">
        <f t="shared" ref="AB375" si="962">IF(O375&gt;0,0,AA375+V375*Z375)*Z375</f>
        <v>4430.4166666660904</v>
      </c>
      <c r="AC375" s="286">
        <f t="shared" ref="AC375" si="963">IF(O375&gt;0,(N375-AA375)/2,IF(AD375&gt;=AG375,(((N375*U375)*Z375)-AB375)/2,((((N375*U375)*Z375)-AA375)+(((N375*U375)*Z375)-AB375))/2))</f>
        <v>16772.291666666955</v>
      </c>
      <c r="AD375" s="286">
        <f>$E375+(($F375-1)/12)</f>
        <v>2017.4166666666667</v>
      </c>
      <c r="AE375" s="286">
        <f t="shared" si="933"/>
        <v>2018</v>
      </c>
      <c r="AF375" s="286">
        <f>$K375+(($F375-1)/12)</f>
        <v>2022.4166666666667</v>
      </c>
      <c r="AG375" s="286">
        <f t="shared" si="934"/>
        <v>2017</v>
      </c>
      <c r="AH375" s="286">
        <f>$L375+(($M375-1)/12)</f>
        <v>-8.3333333333333329E-2</v>
      </c>
      <c r="AJ375" s="11">
        <f t="shared" si="935"/>
        <v>0</v>
      </c>
      <c r="AL375" s="11">
        <f t="shared" si="936"/>
        <v>4430.4166666660904</v>
      </c>
      <c r="AN375" s="11">
        <f t="shared" si="937"/>
        <v>0</v>
      </c>
      <c r="AP375" s="11">
        <f t="shared" si="938"/>
        <v>0</v>
      </c>
      <c r="AR375" s="11">
        <f t="shared" si="939"/>
        <v>16772.291666666955</v>
      </c>
    </row>
    <row r="376" spans="1:44">
      <c r="C376" s="311"/>
      <c r="D376" s="311"/>
      <c r="H376" s="286"/>
      <c r="I376" s="308"/>
      <c r="K376" s="309"/>
      <c r="N376" s="330"/>
      <c r="P376" s="317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  <c r="AA376" s="317"/>
      <c r="AB376" s="317"/>
      <c r="AC376" s="317"/>
      <c r="AD376" s="286"/>
      <c r="AE376" s="286"/>
      <c r="AF376" s="286"/>
      <c r="AG376" s="286"/>
      <c r="AH376" s="286"/>
    </row>
    <row r="377" spans="1:44">
      <c r="C377" s="311"/>
      <c r="D377" s="311"/>
      <c r="H377" s="286"/>
      <c r="I377" s="308"/>
      <c r="K377" s="309"/>
      <c r="N377" s="319">
        <f>+SUM(N372:N376)</f>
        <v>123418.75</v>
      </c>
      <c r="O377" s="327"/>
      <c r="P377" s="319">
        <f>+SUM(P372:P376)</f>
        <v>123418.75</v>
      </c>
      <c r="Q377" s="319">
        <f>+SUM(Q372:Q376)</f>
        <v>2056.9791666666665</v>
      </c>
      <c r="R377" s="319">
        <f>+SUM(R372:R376)</f>
        <v>14398.854166664794</v>
      </c>
      <c r="S377" s="315"/>
      <c r="T377" s="319">
        <f>+SUM(T372:T376)</f>
        <v>14398.854166664794</v>
      </c>
      <c r="U377" s="315"/>
      <c r="V377" s="319">
        <f>+SUM(V372:V376)</f>
        <v>14398.854166664794</v>
      </c>
      <c r="W377" s="315"/>
      <c r="X377" s="319">
        <f t="shared" ref="X377:AC377" si="964">+SUM(X372:X376)</f>
        <v>0</v>
      </c>
      <c r="Y377" s="319">
        <f t="shared" si="964"/>
        <v>0</v>
      </c>
      <c r="Z377" s="319">
        <f t="shared" si="964"/>
        <v>4</v>
      </c>
      <c r="AA377" s="319">
        <f t="shared" si="964"/>
        <v>0</v>
      </c>
      <c r="AB377" s="319">
        <f t="shared" si="964"/>
        <v>14398.854166664794</v>
      </c>
      <c r="AC377" s="319">
        <f t="shared" si="964"/>
        <v>54509.947916667603</v>
      </c>
      <c r="AD377" s="323"/>
      <c r="AE377" s="323"/>
      <c r="AF377" s="323"/>
      <c r="AG377" s="323"/>
      <c r="AH377" s="323"/>
      <c r="AJ377" s="7">
        <f t="shared" ref="AJ377:AR377" si="965">+SUM(AJ372:AJ376)</f>
        <v>0</v>
      </c>
      <c r="AK377" s="7">
        <f t="shared" si="965"/>
        <v>0</v>
      </c>
      <c r="AL377" s="7">
        <f t="shared" si="965"/>
        <v>14398.854166664794</v>
      </c>
      <c r="AM377" s="7">
        <f t="shared" si="965"/>
        <v>0</v>
      </c>
      <c r="AN377" s="7">
        <f t="shared" si="965"/>
        <v>0</v>
      </c>
      <c r="AO377" s="7">
        <f t="shared" si="965"/>
        <v>0</v>
      </c>
      <c r="AP377" s="7">
        <f t="shared" si="965"/>
        <v>0</v>
      </c>
      <c r="AQ377" s="7">
        <f t="shared" si="965"/>
        <v>0</v>
      </c>
      <c r="AR377" s="7">
        <f t="shared" si="965"/>
        <v>54509.947916667603</v>
      </c>
    </row>
    <row r="378" spans="1:44">
      <c r="C378" s="311"/>
      <c r="D378" s="311"/>
      <c r="H378" s="286"/>
      <c r="I378" s="308"/>
      <c r="K378" s="309"/>
      <c r="N378" s="330"/>
      <c r="P378" s="330"/>
      <c r="Q378" s="330"/>
      <c r="R378" s="330"/>
      <c r="S378" s="317"/>
      <c r="T378" s="330"/>
      <c r="U378" s="317"/>
      <c r="V378" s="330"/>
      <c r="W378" s="317"/>
      <c r="X378" s="330"/>
      <c r="Y378" s="330"/>
      <c r="Z378" s="330"/>
      <c r="AA378" s="330"/>
      <c r="AB378" s="330"/>
      <c r="AC378" s="330"/>
      <c r="AD378" s="286"/>
      <c r="AE378" s="286"/>
      <c r="AF378" s="286"/>
      <c r="AG378" s="286"/>
      <c r="AH378" s="286"/>
    </row>
    <row r="379" spans="1:44">
      <c r="C379" s="311"/>
      <c r="D379" s="311" t="s">
        <v>370</v>
      </c>
      <c r="H379" s="286"/>
      <c r="I379" s="308"/>
      <c r="K379" s="309"/>
      <c r="N379" s="330"/>
      <c r="P379" s="330"/>
      <c r="Q379" s="330"/>
      <c r="R379" s="330"/>
      <c r="S379" s="317"/>
      <c r="T379" s="330"/>
      <c r="U379" s="317"/>
      <c r="V379" s="330"/>
      <c r="W379" s="317"/>
      <c r="X379" s="330"/>
      <c r="Y379" s="330"/>
      <c r="Z379" s="330"/>
      <c r="AA379" s="330"/>
      <c r="AB379" s="330"/>
      <c r="AC379" s="330"/>
      <c r="AD379" s="286"/>
      <c r="AE379" s="286"/>
      <c r="AF379" s="286"/>
      <c r="AG379" s="286"/>
      <c r="AH379" s="286"/>
    </row>
    <row r="380" spans="1:44">
      <c r="A380" s="282">
        <v>183691</v>
      </c>
      <c r="C380" s="282">
        <v>550</v>
      </c>
      <c r="D380" s="282" t="s">
        <v>371</v>
      </c>
      <c r="E380" s="282">
        <v>2017</v>
      </c>
      <c r="F380" s="284">
        <v>6</v>
      </c>
      <c r="G380" s="284">
        <v>0</v>
      </c>
      <c r="H380" s="286"/>
      <c r="I380" s="308" t="s">
        <v>86</v>
      </c>
      <c r="J380" s="284">
        <v>5</v>
      </c>
      <c r="K380" s="309">
        <f>E380+J380</f>
        <v>2022</v>
      </c>
      <c r="N380" s="285">
        <v>16410.63</v>
      </c>
      <c r="P380" s="286">
        <f>N380-N380*G380</f>
        <v>16410.63</v>
      </c>
      <c r="Q380" s="286">
        <f>P380/J380/12</f>
        <v>273.51050000000004</v>
      </c>
      <c r="R380" s="286">
        <f t="shared" ref="R380" si="966">IF(O380&gt;0,0,IF(OR(AD380&gt;AE380,AF380&lt;AG380),0,IF(AND(AF380&gt;=AG380,AF380&lt;=AE380),Q380*((AF380-AG380)*12),IF(AND(AG380&lt;=AD380,AE380&gt;=AD380),((AE380-AD380)*12)*Q380,IF(AF380&gt;AE380,12*Q380,0)))))</f>
        <v>1914.5734999997514</v>
      </c>
      <c r="T380" s="286">
        <f t="shared" ref="T380" si="967">IF(S380&gt;0,S380,R380)</f>
        <v>1914.5734999997514</v>
      </c>
      <c r="U380" s="286">
        <v>1</v>
      </c>
      <c r="V380" s="286">
        <f t="shared" ref="V380" si="968">U380*SUM(R380:S380)</f>
        <v>1914.5734999997514</v>
      </c>
      <c r="W380" s="286"/>
      <c r="X380" s="286">
        <f t="shared" ref="X380" si="969">IF(AD380&gt;AE380,0,IF(AF380&lt;AG380,P380,IF(AND(AF380&gt;=AG380,AF380&lt;=AE380),(P380-T380),IF(AND(AG380&lt;=AD380,AE380&gt;=AD380),0,IF(AF380&gt;AE380,((AG380-AD380)*12)*Q380,0)))))</f>
        <v>0</v>
      </c>
      <c r="Y380" s="286">
        <f t="shared" ref="Y380" si="970">X380*U380</f>
        <v>0</v>
      </c>
      <c r="Z380" s="286">
        <v>1</v>
      </c>
      <c r="AA380" s="286">
        <f t="shared" ref="AA380" si="971">Y380*Z380</f>
        <v>0</v>
      </c>
      <c r="AB380" s="286">
        <f t="shared" ref="AB380" si="972">IF(O380&gt;0,0,AA380+V380*Z380)*Z380</f>
        <v>1914.5734999997514</v>
      </c>
      <c r="AC380" s="286">
        <f t="shared" ref="AC380" si="973">IF(O380&gt;0,(N380-AA380)/2,IF(AD380&gt;=AG380,(((N380*U380)*Z380)-AB380)/2,((((N380*U380)*Z380)-AA380)+(((N380*U380)*Z380)-AB380))/2))</f>
        <v>7248.0282500001249</v>
      </c>
      <c r="AD380" s="286">
        <f>$E380+(($F380-1)/12)</f>
        <v>2017.4166666666667</v>
      </c>
      <c r="AE380" s="286">
        <f t="shared" ref="AE380" si="974">($P$5+1)-($P$2/12)</f>
        <v>2018</v>
      </c>
      <c r="AF380" s="286">
        <f>$K380+(($F380-1)/12)</f>
        <v>2022.4166666666667</v>
      </c>
      <c r="AG380" s="286">
        <f t="shared" ref="AG380" si="975">$P$4+($P$3/12)</f>
        <v>2017</v>
      </c>
      <c r="AH380" s="286">
        <f>$L380+(($M380-1)/12)</f>
        <v>-8.3333333333333329E-2</v>
      </c>
      <c r="AJ380" s="11">
        <f t="shared" ref="AJ380" si="976">+IF((AF380-AG380)&gt;3,((N380-P380)/(AF380-AG380)),(N380-P380)/3)</f>
        <v>0</v>
      </c>
      <c r="AL380" s="11">
        <f t="shared" ref="AL380" si="977">+AJ380+R380</f>
        <v>1914.5734999997514</v>
      </c>
      <c r="AN380" s="11">
        <f t="shared" ref="AN380" si="978">+IF(AF380&lt;AG380,-AC380,0)</f>
        <v>0</v>
      </c>
      <c r="AP380" s="11">
        <f t="shared" ref="AP380" si="979">+IF(AF380&gt;AG380,IF(AJ380&gt;0,IF(O380&gt;0,(N380-AA380)/2,IF(AD380&gt;=AG380,(((N380*U380)*Z380)-(AB380+AJ380))/2,((((N380*U380)*Z380)-AA380)+(((N380*U380)*Z380)-(AB380+AJ380)))/2)),0),0)</f>
        <v>0</v>
      </c>
      <c r="AR380" s="11">
        <f>+AC380+AN380+(IF(AP380&gt;0,(AP380-AC380),0))</f>
        <v>7248.0282500001249</v>
      </c>
    </row>
    <row r="381" spans="1:44">
      <c r="H381" s="286"/>
      <c r="I381" s="308"/>
      <c r="K381" s="309"/>
      <c r="P381" s="286"/>
      <c r="Q381" s="286"/>
      <c r="R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</row>
    <row r="382" spans="1:44">
      <c r="C382" s="311"/>
      <c r="D382" s="311"/>
      <c r="H382" s="286"/>
      <c r="I382" s="308"/>
      <c r="K382" s="309"/>
      <c r="N382" s="319">
        <f>+SUM(N380:N381)</f>
        <v>16410.63</v>
      </c>
      <c r="O382" s="327"/>
      <c r="P382" s="319">
        <f>+SUM(P380:P381)</f>
        <v>16410.63</v>
      </c>
      <c r="Q382" s="319">
        <f>+SUM(Q380:Q381)</f>
        <v>273.51050000000004</v>
      </c>
      <c r="R382" s="319">
        <f>+SUM(R380:R381)</f>
        <v>1914.5734999997514</v>
      </c>
      <c r="S382" s="315"/>
      <c r="T382" s="319">
        <f>+SUM(T380:T381)</f>
        <v>1914.5734999997514</v>
      </c>
      <c r="U382" s="315"/>
      <c r="V382" s="319">
        <f>+SUM(V380:V381)</f>
        <v>1914.5734999997514</v>
      </c>
      <c r="W382" s="315"/>
      <c r="X382" s="319">
        <f t="shared" ref="X382:AC382" si="980">+SUM(X380:X381)</f>
        <v>0</v>
      </c>
      <c r="Y382" s="319">
        <f t="shared" si="980"/>
        <v>0</v>
      </c>
      <c r="Z382" s="319">
        <f t="shared" si="980"/>
        <v>1</v>
      </c>
      <c r="AA382" s="319">
        <f t="shared" si="980"/>
        <v>0</v>
      </c>
      <c r="AB382" s="319">
        <f t="shared" si="980"/>
        <v>1914.5734999997514</v>
      </c>
      <c r="AC382" s="319">
        <f t="shared" si="980"/>
        <v>7248.0282500001249</v>
      </c>
      <c r="AD382" s="323"/>
      <c r="AE382" s="323"/>
      <c r="AF382" s="323"/>
      <c r="AG382" s="323"/>
      <c r="AH382" s="323"/>
      <c r="AJ382" s="319">
        <f t="shared" ref="AJ382:AR382" si="981">+SUM(AJ380:AJ381)</f>
        <v>0</v>
      </c>
      <c r="AK382" s="319">
        <f t="shared" si="981"/>
        <v>0</v>
      </c>
      <c r="AL382" s="319">
        <f t="shared" si="981"/>
        <v>1914.5734999997514</v>
      </c>
      <c r="AM382" s="319">
        <f t="shared" si="981"/>
        <v>0</v>
      </c>
      <c r="AN382" s="319">
        <f t="shared" si="981"/>
        <v>0</v>
      </c>
      <c r="AO382" s="319">
        <f t="shared" si="981"/>
        <v>0</v>
      </c>
      <c r="AP382" s="319">
        <f t="shared" si="981"/>
        <v>0</v>
      </c>
      <c r="AQ382" s="319">
        <f t="shared" si="981"/>
        <v>0</v>
      </c>
      <c r="AR382" s="319">
        <f t="shared" si="981"/>
        <v>7248.0282500001249</v>
      </c>
    </row>
    <row r="383" spans="1:44">
      <c r="C383" s="311"/>
      <c r="D383" s="311"/>
      <c r="H383" s="286"/>
      <c r="I383" s="308"/>
      <c r="K383" s="309"/>
      <c r="N383" s="330"/>
      <c r="P383" s="330"/>
      <c r="Q383" s="330"/>
      <c r="R383" s="330"/>
      <c r="S383" s="317"/>
      <c r="T383" s="330"/>
      <c r="U383" s="317"/>
      <c r="V383" s="330"/>
      <c r="W383" s="317"/>
      <c r="X383" s="330"/>
      <c r="Y383" s="330"/>
      <c r="Z383" s="330"/>
      <c r="AA383" s="330"/>
      <c r="AB383" s="330"/>
      <c r="AC383" s="330"/>
      <c r="AD383" s="286"/>
      <c r="AE383" s="286"/>
      <c r="AF383" s="286"/>
      <c r="AG383" s="286"/>
      <c r="AH383" s="286"/>
    </row>
    <row r="384" spans="1:44">
      <c r="C384" s="311"/>
      <c r="D384" s="311" t="s">
        <v>372</v>
      </c>
      <c r="H384" s="286"/>
      <c r="I384" s="308"/>
      <c r="K384" s="309"/>
      <c r="N384" s="330"/>
      <c r="P384" s="330"/>
      <c r="Q384" s="330"/>
      <c r="R384" s="330"/>
      <c r="S384" s="317"/>
      <c r="T384" s="330"/>
      <c r="U384" s="317"/>
      <c r="V384" s="330"/>
      <c r="W384" s="317"/>
      <c r="X384" s="330"/>
      <c r="Y384" s="330"/>
      <c r="Z384" s="330"/>
      <c r="AA384" s="330"/>
      <c r="AB384" s="330"/>
      <c r="AC384" s="330"/>
      <c r="AD384" s="286"/>
      <c r="AE384" s="286"/>
      <c r="AF384" s="286"/>
      <c r="AG384" s="286"/>
      <c r="AH384" s="286"/>
    </row>
    <row r="385" spans="1:44">
      <c r="A385" s="282">
        <v>183690</v>
      </c>
      <c r="C385" s="282">
        <v>4</v>
      </c>
      <c r="D385" s="282" t="s">
        <v>373</v>
      </c>
      <c r="E385" s="282">
        <v>2017</v>
      </c>
      <c r="F385" s="284">
        <v>6</v>
      </c>
      <c r="G385" s="284">
        <v>0</v>
      </c>
      <c r="H385" s="286"/>
      <c r="I385" s="308" t="s">
        <v>86</v>
      </c>
      <c r="J385" s="284">
        <v>7</v>
      </c>
      <c r="K385" s="309">
        <f>E385+J385</f>
        <v>2024</v>
      </c>
      <c r="N385" s="285">
        <v>24000</v>
      </c>
      <c r="P385" s="286">
        <f>N385-N385*G385</f>
        <v>24000</v>
      </c>
      <c r="Q385" s="286">
        <f>P385/J385/12</f>
        <v>285.71428571428572</v>
      </c>
      <c r="R385" s="286">
        <f t="shared" ref="R385" si="982">IF(O385&gt;0,0,IF(OR(AD385&gt;AE385,AF385&lt;AG385),0,IF(AND(AF385&gt;=AG385,AF385&lt;=AE385),Q385*((AF385-AG385)*12),IF(AND(AG385&lt;=AD385,AE385&gt;=AD385),((AE385-AD385)*12)*Q385,IF(AF385&gt;AE385,12*Q385,0)))))</f>
        <v>1999.9999999997401</v>
      </c>
      <c r="T385" s="286">
        <f t="shared" ref="T385" si="983">IF(S385&gt;0,S385,R385)</f>
        <v>1999.9999999997401</v>
      </c>
      <c r="U385" s="286">
        <v>1</v>
      </c>
      <c r="V385" s="286">
        <f t="shared" ref="V385" si="984">U385*SUM(R385:S385)</f>
        <v>1999.9999999997401</v>
      </c>
      <c r="W385" s="286"/>
      <c r="X385" s="286">
        <f t="shared" ref="X385" si="985">IF(AD385&gt;AE385,0,IF(AF385&lt;AG385,P385,IF(AND(AF385&gt;=AG385,AF385&lt;=AE385),(P385-T385),IF(AND(AG385&lt;=AD385,AE385&gt;=AD385),0,IF(AF385&gt;AE385,((AG385-AD385)*12)*Q385,0)))))</f>
        <v>0</v>
      </c>
      <c r="Y385" s="286">
        <f t="shared" ref="Y385" si="986">X385*U385</f>
        <v>0</v>
      </c>
      <c r="Z385" s="286">
        <v>1</v>
      </c>
      <c r="AA385" s="286">
        <f t="shared" ref="AA385" si="987">Y385*Z385</f>
        <v>0</v>
      </c>
      <c r="AB385" s="286">
        <f t="shared" ref="AB385" si="988">IF(O385&gt;0,0,AA385+V385*Z385)*Z385</f>
        <v>1999.9999999997401</v>
      </c>
      <c r="AC385" s="286">
        <f t="shared" ref="AC385" si="989">IF(O385&gt;0,(N385-AA385)/2,IF(AD385&gt;=AG385,(((N385*U385)*Z385)-AB385)/2,((((N385*U385)*Z385)-AA385)+(((N385*U385)*Z385)-AB385))/2))</f>
        <v>11000.000000000129</v>
      </c>
      <c r="AD385" s="286">
        <f>$E385+(($F385-1)/12)</f>
        <v>2017.4166666666667</v>
      </c>
      <c r="AE385" s="286">
        <f t="shared" ref="AE385" si="990">($P$5+1)-($P$2/12)</f>
        <v>2018</v>
      </c>
      <c r="AF385" s="286">
        <f>$K385+(($F385-1)/12)</f>
        <v>2024.4166666666667</v>
      </c>
      <c r="AG385" s="286">
        <f t="shared" ref="AG385" si="991">$P$4+($P$3/12)</f>
        <v>2017</v>
      </c>
      <c r="AH385" s="286">
        <f>$L385+(($M385-1)/12)</f>
        <v>-8.3333333333333329E-2</v>
      </c>
      <c r="AJ385" s="11">
        <f t="shared" ref="AJ385" si="992">+IF((AF385-AG385)&gt;3,((N385-P385)/(AF385-AG385)),(N385-P385)/3)</f>
        <v>0</v>
      </c>
      <c r="AL385" s="11">
        <f t="shared" ref="AL385" si="993">+AJ385+R385</f>
        <v>1999.9999999997401</v>
      </c>
      <c r="AN385" s="11">
        <f t="shared" ref="AN385" si="994">+IF(AF385&lt;AG385,-AC385,0)</f>
        <v>0</v>
      </c>
      <c r="AP385" s="11">
        <f t="shared" ref="AP385" si="995">+IF(AF385&gt;AG385,IF(AJ385&gt;0,IF(O385&gt;0,(N385-AA385)/2,IF(AD385&gt;=AG385,(((N385*U385)*Z385)-(AB385+AJ385))/2,((((N385*U385)*Z385)-AA385)+(((N385*U385)*Z385)-(AB385+AJ385)))/2)),0),0)</f>
        <v>0</v>
      </c>
      <c r="AR385" s="11">
        <f>+AC385+AN385+(IF(AP385&gt;0,(AP385-AC385),0))</f>
        <v>11000.000000000129</v>
      </c>
    </row>
    <row r="386" spans="1:44">
      <c r="H386" s="286"/>
      <c r="I386" s="308"/>
      <c r="K386" s="309"/>
      <c r="P386" s="286"/>
      <c r="Q386" s="286"/>
      <c r="R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</row>
    <row r="387" spans="1:44">
      <c r="C387" s="311"/>
      <c r="D387" s="311"/>
      <c r="H387" s="286"/>
      <c r="I387" s="308"/>
      <c r="K387" s="309"/>
      <c r="N387" s="319">
        <f>+SUM(N385:N386)</f>
        <v>24000</v>
      </c>
      <c r="O387" s="327"/>
      <c r="P387" s="319">
        <f>+SUM(P385:P386)</f>
        <v>24000</v>
      </c>
      <c r="Q387" s="319">
        <f>+SUM(Q385:Q386)</f>
        <v>285.71428571428572</v>
      </c>
      <c r="R387" s="319">
        <f>+SUM(R385:R386)</f>
        <v>1999.9999999997401</v>
      </c>
      <c r="S387" s="315"/>
      <c r="T387" s="319">
        <f>+SUM(T385:T386)</f>
        <v>1999.9999999997401</v>
      </c>
      <c r="U387" s="315"/>
      <c r="V387" s="319">
        <f>+SUM(V385:V386)</f>
        <v>1999.9999999997401</v>
      </c>
      <c r="W387" s="315"/>
      <c r="X387" s="319">
        <f t="shared" ref="X387:AC387" si="996">+SUM(X385:X386)</f>
        <v>0</v>
      </c>
      <c r="Y387" s="319">
        <f t="shared" si="996"/>
        <v>0</v>
      </c>
      <c r="Z387" s="319">
        <f t="shared" si="996"/>
        <v>1</v>
      </c>
      <c r="AA387" s="319">
        <f t="shared" si="996"/>
        <v>0</v>
      </c>
      <c r="AB387" s="319">
        <f t="shared" si="996"/>
        <v>1999.9999999997401</v>
      </c>
      <c r="AC387" s="319">
        <f t="shared" si="996"/>
        <v>11000.000000000129</v>
      </c>
      <c r="AD387" s="323"/>
      <c r="AE387" s="323"/>
      <c r="AF387" s="323"/>
      <c r="AG387" s="323"/>
      <c r="AH387" s="323"/>
      <c r="AJ387" s="7">
        <f t="shared" ref="AJ387:AR387" si="997">+SUM(AJ385:AJ386)</f>
        <v>0</v>
      </c>
      <c r="AK387" s="7">
        <f t="shared" si="997"/>
        <v>0</v>
      </c>
      <c r="AL387" s="7">
        <f t="shared" si="997"/>
        <v>1999.9999999997401</v>
      </c>
      <c r="AM387" s="7">
        <f t="shared" si="997"/>
        <v>0</v>
      </c>
      <c r="AN387" s="7">
        <f t="shared" si="997"/>
        <v>0</v>
      </c>
      <c r="AO387" s="7">
        <f t="shared" si="997"/>
        <v>0</v>
      </c>
      <c r="AP387" s="7">
        <f t="shared" si="997"/>
        <v>0</v>
      </c>
      <c r="AQ387" s="7">
        <f t="shared" si="997"/>
        <v>0</v>
      </c>
      <c r="AR387" s="7">
        <f t="shared" si="997"/>
        <v>11000.000000000129</v>
      </c>
    </row>
    <row r="388" spans="1:44">
      <c r="C388" s="311"/>
      <c r="D388" s="311" t="s">
        <v>2</v>
      </c>
      <c r="H388" s="286"/>
      <c r="I388" s="308"/>
      <c r="K388" s="309"/>
      <c r="N388" s="330"/>
      <c r="P388" s="317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  <c r="AA388" s="317"/>
      <c r="AB388" s="317"/>
      <c r="AC388" s="317"/>
      <c r="AD388" s="286"/>
      <c r="AE388" s="286"/>
      <c r="AF388" s="286"/>
      <c r="AG388" s="286"/>
      <c r="AH388" s="286"/>
    </row>
    <row r="389" spans="1:44">
      <c r="C389" s="311"/>
      <c r="D389" s="311" t="s">
        <v>221</v>
      </c>
      <c r="H389" s="286"/>
      <c r="I389" s="308"/>
      <c r="K389" s="309"/>
      <c r="N389" s="319">
        <f>N230+N278+N324+N339+N356+N364+N370+N377+N382+N387</f>
        <v>3024411.97957265</v>
      </c>
      <c r="O389" s="327"/>
      <c r="P389" s="319">
        <f>P230+P278+P324+P339+P356+P364+P370+P377+P382+P387</f>
        <v>3024411.97957265</v>
      </c>
      <c r="Q389" s="319">
        <f>Q230+Q278+Q324+Q339+Q356+Q364+Q370+Q377+Q382+Q387</f>
        <v>29556.326828245834</v>
      </c>
      <c r="R389" s="319">
        <f>R230+R278+R324+R339+R356+R364+R370+R377+R382+R387</f>
        <v>209428.50531195966</v>
      </c>
      <c r="S389" s="315"/>
      <c r="T389" s="319">
        <f>T230+T278+T324+T339+T356+T364+T370+T377+T382+T387</f>
        <v>155483.0145976757</v>
      </c>
      <c r="U389" s="319">
        <f>U230+U278+U324+U339+U356+U364+U370+U377+U382+U387</f>
        <v>11</v>
      </c>
      <c r="V389" s="319">
        <f>V230+V278+V324+V339+V356+V364+V370+V377+V382+V387</f>
        <v>209428.50531195966</v>
      </c>
      <c r="W389" s="319">
        <f>W230+W278+W324+W339+W356+W364+W370+W377+W382</f>
        <v>0</v>
      </c>
      <c r="X389" s="319">
        <f t="shared" ref="X389:AC389" si="998">X230+X278+X324+X339+X356+X364+X370+X377+X382+X387</f>
        <v>1485651.2901426635</v>
      </c>
      <c r="Y389" s="319">
        <f t="shared" si="998"/>
        <v>1485651.2901426635</v>
      </c>
      <c r="Z389" s="319">
        <f t="shared" si="998"/>
        <v>174</v>
      </c>
      <c r="AA389" s="319">
        <f t="shared" si="998"/>
        <v>1708447.1868921465</v>
      </c>
      <c r="AB389" s="319">
        <f t="shared" si="998"/>
        <v>1917875.6922041061</v>
      </c>
      <c r="AC389" s="319">
        <f t="shared" si="998"/>
        <v>953929.99502452277</v>
      </c>
      <c r="AD389" s="323"/>
      <c r="AE389" s="323"/>
      <c r="AF389" s="323"/>
      <c r="AG389" s="323"/>
      <c r="AH389" s="323"/>
      <c r="AJ389" s="7">
        <f t="shared" ref="AJ389:AR389" si="999">AJ230+AJ278+AJ324+AJ339+AJ356+AJ364+AJ370+AJ377+AJ382+AJ387</f>
        <v>0</v>
      </c>
      <c r="AK389" s="7">
        <f t="shared" si="999"/>
        <v>0</v>
      </c>
      <c r="AL389" s="7">
        <f t="shared" si="999"/>
        <v>189553.23531195967</v>
      </c>
      <c r="AM389" s="7">
        <f t="shared" si="999"/>
        <v>0</v>
      </c>
      <c r="AN389" s="7">
        <f t="shared" si="999"/>
        <v>0</v>
      </c>
      <c r="AO389" s="7">
        <f t="shared" si="999"/>
        <v>0</v>
      </c>
      <c r="AP389" s="7">
        <f t="shared" si="999"/>
        <v>0</v>
      </c>
      <c r="AQ389" s="7">
        <f t="shared" si="999"/>
        <v>0</v>
      </c>
      <c r="AR389" s="7">
        <f t="shared" si="999"/>
        <v>795812.25835785712</v>
      </c>
    </row>
    <row r="390" spans="1:44">
      <c r="D390" s="311"/>
      <c r="H390" s="286"/>
      <c r="I390" s="308"/>
      <c r="K390" s="309"/>
      <c r="P390" s="286"/>
      <c r="Q390" s="286"/>
      <c r="R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</row>
    <row r="391" spans="1:44">
      <c r="D391" s="311" t="s">
        <v>222</v>
      </c>
      <c r="H391" s="286"/>
      <c r="I391" s="308"/>
      <c r="K391" s="309"/>
      <c r="P391" s="286"/>
      <c r="Q391" s="286"/>
      <c r="R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</row>
    <row r="392" spans="1:44">
      <c r="C392" s="309" t="s">
        <v>223</v>
      </c>
      <c r="D392" s="306" t="s">
        <v>224</v>
      </c>
      <c r="E392" s="282">
        <v>2011</v>
      </c>
      <c r="F392" s="284">
        <v>12</v>
      </c>
      <c r="G392" s="307">
        <v>0</v>
      </c>
      <c r="H392" s="286"/>
      <c r="I392" s="308" t="s">
        <v>86</v>
      </c>
      <c r="J392" s="284">
        <v>5</v>
      </c>
      <c r="K392" s="309">
        <f>E392+J392</f>
        <v>2016</v>
      </c>
      <c r="N392" s="285">
        <v>5000</v>
      </c>
      <c r="P392" s="286">
        <f>N392-N392*G392</f>
        <v>5000</v>
      </c>
      <c r="Q392" s="286">
        <f>P392/J392/12</f>
        <v>83.333333333333329</v>
      </c>
      <c r="R392" s="286">
        <f>IF(O392&gt;0,0,IF(OR(AD392&gt;AE392,AF392&lt;AG392),0,IF(AND(AF392&gt;=AG392,AF392&lt;=AE392),Q392*((AF392-AG392)*12),IF(AND(AG392&lt;=AD392,AE392&gt;=AD392),((AE392-AD392)*12)*Q392,IF(AF392&gt;AE392,12*Q392,0)))))</f>
        <v>0</v>
      </c>
      <c r="T392" s="286">
        <f>IF(S392&gt;0,S392,R392)</f>
        <v>0</v>
      </c>
      <c r="U392" s="286">
        <v>1</v>
      </c>
      <c r="V392" s="286">
        <f>U392*SUM(R392:S392)</f>
        <v>0</v>
      </c>
      <c r="W392" s="286"/>
      <c r="X392" s="286">
        <f>IF(AD392&gt;AE392,0,IF(AF392&lt;AG392,P392,IF(AND(AF392&gt;=AG392,AF392&lt;=AE392),(P392-T392),IF(AND(AG392&lt;=AD392,AE392&gt;=AD392),0,IF(AF392&gt;AE392,((AG392-AD392)*12)*Q392,0)))))</f>
        <v>5000</v>
      </c>
      <c r="Y392" s="286">
        <f>X392*U392</f>
        <v>5000</v>
      </c>
      <c r="Z392" s="286">
        <v>1</v>
      </c>
      <c r="AA392" s="286">
        <f>Y392*Z392</f>
        <v>5000</v>
      </c>
      <c r="AB392" s="286">
        <f>IF(O392&gt;0,0,AA392+V392*Z392)*Z392</f>
        <v>5000</v>
      </c>
      <c r="AC392" s="286">
        <f>IF(O392&gt;0,(N392-AA392)/2,IF(AD392&gt;=AG392,(((N392*U392)*Z392)-AB392)/2,((((N392*U392)*Z392)-AA392)+(((N392*U392)*Z392)-AB392))/2))</f>
        <v>0</v>
      </c>
      <c r="AD392" s="286">
        <f>$E392+(($F392-1)/12)</f>
        <v>2011.9166666666667</v>
      </c>
      <c r="AE392" s="286">
        <f>($P$5+1)-($P$2/12)</f>
        <v>2018</v>
      </c>
      <c r="AF392" s="286">
        <f>$K392+(($F392-1)/12)</f>
        <v>2016.9166666666667</v>
      </c>
      <c r="AG392" s="286">
        <f>$P$4+($P$3/12)</f>
        <v>2017</v>
      </c>
      <c r="AH392" s="286">
        <f>$L392+(($M392-1)/12)</f>
        <v>-8.3333333333333329E-2</v>
      </c>
      <c r="AJ392" s="11">
        <f t="shared" ref="AJ392:AJ395" si="1000">+IF((AF392-AG392)&gt;3,((N392-P392)/(AF392-AG392)),(N392-P392)/3)</f>
        <v>0</v>
      </c>
      <c r="AL392" s="11">
        <f t="shared" ref="AL392:AL395" si="1001">+AJ392+R392</f>
        <v>0</v>
      </c>
      <c r="AN392" s="11">
        <f t="shared" ref="AN392:AN395" si="1002">+IF(AF392&lt;AG392,-AC392,0)</f>
        <v>0</v>
      </c>
      <c r="AP392" s="11">
        <f t="shared" ref="AP392:AP395" si="1003">+IF(AF392&gt;AG392,IF(AJ392&gt;0,IF(O392&gt;0,(N392-AA392)/2,IF(AD392&gt;=AG392,(((N392*U392)*Z392)-(AB392+AJ392))/2,((((N392*U392)*Z392)-AA392)+(((N392*U392)*Z392)-(AB392+AJ392)))/2)),0),0)</f>
        <v>0</v>
      </c>
      <c r="AR392" s="11">
        <f t="shared" ref="AR392:AR395" si="1004">+AC392+AN392+(IF(AP392&gt;0,(AP392-AC392),0))</f>
        <v>0</v>
      </c>
    </row>
    <row r="393" spans="1:44">
      <c r="B393" s="284" t="s">
        <v>2</v>
      </c>
      <c r="C393" s="309" t="s">
        <v>223</v>
      </c>
      <c r="D393" s="306" t="s">
        <v>225</v>
      </c>
      <c r="E393" s="282">
        <v>2012</v>
      </c>
      <c r="F393" s="284">
        <v>7</v>
      </c>
      <c r="G393" s="307">
        <v>0.2</v>
      </c>
      <c r="H393" s="286"/>
      <c r="I393" s="308" t="s">
        <v>86</v>
      </c>
      <c r="J393" s="284">
        <v>7</v>
      </c>
      <c r="K393" s="309">
        <f>E393+J393</f>
        <v>2019</v>
      </c>
      <c r="N393" s="285">
        <v>595</v>
      </c>
      <c r="O393" s="310"/>
      <c r="P393" s="286">
        <f>N393-N393*G393</f>
        <v>476</v>
      </c>
      <c r="Q393" s="286">
        <f>P393/J393/12</f>
        <v>5.666666666666667</v>
      </c>
      <c r="R393" s="286">
        <f>IF(O393&gt;0,0,IF(OR(AD393&gt;AE393,AF393&lt;AG393),0,IF(AND(AF393&gt;=AG393,AF393&lt;=AE393),Q393*((AF393-AG393)*12),IF(AND(AG393&lt;=AD393,AE393&gt;=AD393),((AE393-AD393)*12)*Q393,IF(AF393&gt;AE393,12*Q393,0)))))</f>
        <v>68</v>
      </c>
      <c r="S393" s="286"/>
      <c r="T393" s="286">
        <f>IF(S393&gt;0,S393,R393)</f>
        <v>68</v>
      </c>
      <c r="U393" s="286">
        <v>1</v>
      </c>
      <c r="V393" s="286">
        <f>U393*SUM(R393:S393)</f>
        <v>68</v>
      </c>
      <c r="W393" s="286"/>
      <c r="X393" s="286">
        <f>IF(AD393&gt;AE393,0,IF(AF393&lt;AG393,P393,IF(AND(AF393&gt;=AG393,AF393&lt;=AE393),(P393-T393),IF(AND(AG393&lt;=AD393,AE393&gt;=AD393),0,IF(AF393&gt;AE393,((AG393-AD393)*12)*Q393,0)))))</f>
        <v>306</v>
      </c>
      <c r="Y393" s="286">
        <f>X393*U393</f>
        <v>306</v>
      </c>
      <c r="Z393" s="286">
        <v>1</v>
      </c>
      <c r="AA393" s="286">
        <f>Y393*Z393</f>
        <v>306</v>
      </c>
      <c r="AB393" s="286">
        <f>IF(O393&gt;0,0,AA393+V393*Z393)*Z393</f>
        <v>374</v>
      </c>
      <c r="AC393" s="286">
        <f>IF(O393&gt;0,(N393-AA393)/2,IF(AD393&gt;=AG393,(((N393*U393)*Z393)-AB393)/2,((((N393*U393)*Z393)-AA393)+(((N393*U393)*Z393)-AB393))/2))</f>
        <v>255</v>
      </c>
      <c r="AD393" s="286">
        <f>$E393+(($F393-1)/12)</f>
        <v>2012.5</v>
      </c>
      <c r="AE393" s="286">
        <f>($P$5+1)-($P$2/12)</f>
        <v>2018</v>
      </c>
      <c r="AF393" s="286">
        <f>$K393+(($F393-1)/12)</f>
        <v>2019.5</v>
      </c>
      <c r="AG393" s="286">
        <f>$P$4+($P$3/12)</f>
        <v>2017</v>
      </c>
      <c r="AH393" s="286">
        <f>$L393+(($M393-1)/12)</f>
        <v>-8.3333333333333329E-2</v>
      </c>
      <c r="AJ393" s="11">
        <f t="shared" si="1000"/>
        <v>39.666666666666664</v>
      </c>
      <c r="AL393" s="11">
        <f t="shared" si="1001"/>
        <v>107.66666666666666</v>
      </c>
      <c r="AN393" s="11">
        <f t="shared" si="1002"/>
        <v>0</v>
      </c>
      <c r="AP393" s="11">
        <f t="shared" si="1003"/>
        <v>235.16666666666666</v>
      </c>
      <c r="AR393" s="11">
        <f t="shared" si="1004"/>
        <v>235.16666666666666</v>
      </c>
    </row>
    <row r="394" spans="1:44">
      <c r="A394" s="282">
        <v>185174</v>
      </c>
      <c r="B394" s="284"/>
      <c r="C394" s="309" t="s">
        <v>394</v>
      </c>
      <c r="D394" s="306" t="s">
        <v>359</v>
      </c>
      <c r="E394" s="282">
        <v>2017</v>
      </c>
      <c r="F394" s="284">
        <v>8</v>
      </c>
      <c r="G394" s="307">
        <v>0</v>
      </c>
      <c r="H394" s="286"/>
      <c r="I394" s="308" t="s">
        <v>86</v>
      </c>
      <c r="J394" s="284">
        <v>5</v>
      </c>
      <c r="K394" s="309">
        <f>E394+J394</f>
        <v>2022</v>
      </c>
      <c r="N394" s="285">
        <v>38000</v>
      </c>
      <c r="O394" s="310"/>
      <c r="P394" s="286">
        <f>N394-N394*G394</f>
        <v>38000</v>
      </c>
      <c r="Q394" s="286">
        <f>P394/J394/12</f>
        <v>633.33333333333337</v>
      </c>
      <c r="R394" s="286">
        <f>IF(O394&gt;0,0,IF(OR(AD394&gt;AE394,AF394&lt;AG394),0,IF(AND(AF394&gt;=AG394,AF394&lt;=AE394),Q394*((AF394-AG394)*12),IF(AND(AG394&lt;=AD394,AE394&gt;=AD394),((AE394-AD394)*12)*Q394,IF(AF394&gt;AE394,12*Q394,0)))))</f>
        <v>3166.6666666672427</v>
      </c>
      <c r="S394" s="286"/>
      <c r="T394" s="286">
        <f>IF(S394&gt;0,S394,R394)</f>
        <v>3166.6666666672427</v>
      </c>
      <c r="U394" s="286">
        <v>1</v>
      </c>
      <c r="V394" s="286">
        <f>U394*SUM(R394:S394)</f>
        <v>3166.6666666672427</v>
      </c>
      <c r="W394" s="286"/>
      <c r="X394" s="286">
        <f>IF(AD394&gt;AE394,0,IF(AF394&lt;AG394,P394,IF(AND(AF394&gt;=AG394,AF394&lt;=AE394),(P394-T394),IF(AND(AG394&lt;=AD394,AE394&gt;=AD394),0,IF(AF394&gt;AE394,((AG394-AD394)*12)*Q394,0)))))</f>
        <v>0</v>
      </c>
      <c r="Y394" s="286">
        <f>X394*U394</f>
        <v>0</v>
      </c>
      <c r="Z394" s="286">
        <v>1</v>
      </c>
      <c r="AA394" s="286">
        <f>Y394*Z394</f>
        <v>0</v>
      </c>
      <c r="AB394" s="286">
        <f>IF(O394&gt;0,0,AA394+V394*Z394)*Z394</f>
        <v>3166.6666666672427</v>
      </c>
      <c r="AC394" s="286">
        <f>IF(O394&gt;0,(N394-AA394)/2,IF(AD394&gt;=AG394,(((N394*U394)*Z394)-AB394)/2,((((N394*U394)*Z394)-AA394)+(((N394*U394)*Z394)-AB394))/2))</f>
        <v>17416.66666666638</v>
      </c>
      <c r="AD394" s="286">
        <f>$E394+(($F394-1)/12)</f>
        <v>2017.5833333333333</v>
      </c>
      <c r="AE394" s="286">
        <f>($P$5+1)-($P$2/12)</f>
        <v>2018</v>
      </c>
      <c r="AF394" s="286">
        <f>$K394+(($F394-1)/12)</f>
        <v>2022.5833333333333</v>
      </c>
      <c r="AG394" s="286">
        <f>$P$4+($P$3/12)</f>
        <v>2017</v>
      </c>
      <c r="AH394" s="286">
        <f>$L394+(($M394-1)/12)</f>
        <v>-8.3333333333333329E-2</v>
      </c>
      <c r="AJ394" s="11">
        <f t="shared" si="1000"/>
        <v>0</v>
      </c>
      <c r="AL394" s="11">
        <f t="shared" si="1001"/>
        <v>3166.6666666672427</v>
      </c>
      <c r="AN394" s="11">
        <f t="shared" si="1002"/>
        <v>0</v>
      </c>
      <c r="AP394" s="11">
        <f t="shared" si="1003"/>
        <v>0</v>
      </c>
      <c r="AR394" s="11">
        <f t="shared" si="1004"/>
        <v>17416.66666666638</v>
      </c>
    </row>
    <row r="395" spans="1:44">
      <c r="A395" s="282" t="s">
        <v>360</v>
      </c>
      <c r="B395" s="284"/>
      <c r="C395" s="309" t="s">
        <v>394</v>
      </c>
      <c r="D395" s="306" t="s">
        <v>361</v>
      </c>
      <c r="E395" s="282">
        <v>2017</v>
      </c>
      <c r="F395" s="284">
        <v>8</v>
      </c>
      <c r="G395" s="307">
        <v>0</v>
      </c>
      <c r="H395" s="286"/>
      <c r="I395" s="308" t="s">
        <v>86</v>
      </c>
      <c r="J395" s="284">
        <v>3</v>
      </c>
      <c r="K395" s="309">
        <f>E395+J395</f>
        <v>2020</v>
      </c>
      <c r="N395" s="285">
        <v>500</v>
      </c>
      <c r="O395" s="310"/>
      <c r="P395" s="286">
        <f>N395-N395*G395</f>
        <v>500</v>
      </c>
      <c r="Q395" s="286">
        <f>P395/J395/12</f>
        <v>13.888888888888888</v>
      </c>
      <c r="R395" s="286">
        <f>IF(O395&gt;0,0,IF(OR(AD395&gt;AE395,AF395&lt;AG395),0,IF(AND(AF395&gt;=AG395,AF395&lt;=AE395),Q395*((AF395-AG395)*12),IF(AND(AG395&lt;=AD395,AE395&gt;=AD395),((AE395-AD395)*12)*Q395,IF(AF395&gt;AE395,12*Q395,0)))))</f>
        <v>69.444444444457076</v>
      </c>
      <c r="S395" s="286"/>
      <c r="T395" s="286">
        <f>IF(S395&gt;0,S395,R395)</f>
        <v>69.444444444457076</v>
      </c>
      <c r="U395" s="286">
        <v>1</v>
      </c>
      <c r="V395" s="286">
        <f>U395*SUM(R395:S395)</f>
        <v>69.444444444457076</v>
      </c>
      <c r="W395" s="286"/>
      <c r="X395" s="286">
        <f>IF(AD395&gt;AE395,0,IF(AF395&lt;AG395,P395,IF(AND(AF395&gt;=AG395,AF395&lt;=AE395),(P395-T395),IF(AND(AG395&lt;=AD395,AE395&gt;=AD395),0,IF(AF395&gt;AE395,((AG395-AD395)*12)*Q395,0)))))</f>
        <v>0</v>
      </c>
      <c r="Y395" s="286">
        <f>X395*U395</f>
        <v>0</v>
      </c>
      <c r="Z395" s="286">
        <v>1</v>
      </c>
      <c r="AA395" s="286">
        <f>Y395*Z395</f>
        <v>0</v>
      </c>
      <c r="AB395" s="286">
        <f>IF(O395&gt;0,0,AA395+V395*Z395)*Z395</f>
        <v>69.444444444457076</v>
      </c>
      <c r="AC395" s="286">
        <f>IF(O395&gt;0,(N395-AA395)/2,IF(AD395&gt;=AG395,(((N395*U395)*Z395)-AB395)/2,((((N395*U395)*Z395)-AA395)+(((N395*U395)*Z395)-AB395))/2))</f>
        <v>215.27777777777146</v>
      </c>
      <c r="AD395" s="286">
        <f>$E395+(($F395-1)/12)</f>
        <v>2017.5833333333333</v>
      </c>
      <c r="AE395" s="286">
        <f>($P$5+1)-($P$2/12)</f>
        <v>2018</v>
      </c>
      <c r="AF395" s="286">
        <f>$K395+(($F395-1)/12)</f>
        <v>2020.5833333333333</v>
      </c>
      <c r="AG395" s="286">
        <f>$P$4+($P$3/12)</f>
        <v>2017</v>
      </c>
      <c r="AH395" s="286">
        <f>$L395+(($M395-1)/12)</f>
        <v>-8.3333333333333329E-2</v>
      </c>
      <c r="AJ395" s="11">
        <f t="shared" si="1000"/>
        <v>0</v>
      </c>
      <c r="AL395" s="11">
        <f t="shared" si="1001"/>
        <v>69.444444444457076</v>
      </c>
      <c r="AN395" s="11">
        <f t="shared" si="1002"/>
        <v>0</v>
      </c>
      <c r="AP395" s="11">
        <f t="shared" si="1003"/>
        <v>0</v>
      </c>
      <c r="AR395" s="11">
        <f t="shared" si="1004"/>
        <v>215.27777777777146</v>
      </c>
    </row>
    <row r="396" spans="1:44">
      <c r="B396" s="284"/>
      <c r="C396" s="309"/>
      <c r="D396" s="306"/>
      <c r="G396" s="307"/>
      <c r="H396" s="286"/>
      <c r="I396" s="308"/>
      <c r="K396" s="309"/>
      <c r="O396" s="310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  <c r="AH396" s="286"/>
    </row>
    <row r="397" spans="1:44" s="311" customFormat="1">
      <c r="D397" s="294" t="s">
        <v>226</v>
      </c>
      <c r="F397" s="291"/>
      <c r="G397" s="295"/>
      <c r="H397" s="313"/>
      <c r="I397" s="312"/>
      <c r="J397" s="291"/>
      <c r="K397" s="290"/>
      <c r="N397" s="319">
        <f>SUM(N392:N396)</f>
        <v>44095</v>
      </c>
      <c r="O397" s="328"/>
      <c r="P397" s="319">
        <f t="shared" ref="P397:AC397" si="1005">SUM(P392:P396)</f>
        <v>43976</v>
      </c>
      <c r="Q397" s="319">
        <f t="shared" si="1005"/>
        <v>736.22222222222229</v>
      </c>
      <c r="R397" s="319">
        <f t="shared" si="1005"/>
        <v>3304.1111111116998</v>
      </c>
      <c r="S397" s="319">
        <f t="shared" si="1005"/>
        <v>0</v>
      </c>
      <c r="T397" s="319">
        <f t="shared" si="1005"/>
        <v>3304.1111111116998</v>
      </c>
      <c r="U397" s="319">
        <f t="shared" si="1005"/>
        <v>4</v>
      </c>
      <c r="V397" s="319">
        <f t="shared" si="1005"/>
        <v>3304.1111111116998</v>
      </c>
      <c r="W397" s="319">
        <f t="shared" si="1005"/>
        <v>0</v>
      </c>
      <c r="X397" s="319">
        <f t="shared" si="1005"/>
        <v>5306</v>
      </c>
      <c r="Y397" s="319">
        <f t="shared" si="1005"/>
        <v>5306</v>
      </c>
      <c r="Z397" s="319">
        <f t="shared" si="1005"/>
        <v>4</v>
      </c>
      <c r="AA397" s="319">
        <f t="shared" si="1005"/>
        <v>5306</v>
      </c>
      <c r="AB397" s="319">
        <f t="shared" si="1005"/>
        <v>8610.1111111116988</v>
      </c>
      <c r="AC397" s="319">
        <f t="shared" si="1005"/>
        <v>17886.944444444151</v>
      </c>
      <c r="AD397" s="316"/>
      <c r="AE397" s="316"/>
      <c r="AF397" s="316"/>
      <c r="AG397" s="316"/>
      <c r="AH397" s="316"/>
      <c r="AJ397" s="7">
        <f t="shared" ref="AJ397:AR397" si="1006">SUM(AJ392:AJ396)</f>
        <v>39.666666666666664</v>
      </c>
      <c r="AK397" s="7">
        <f t="shared" si="1006"/>
        <v>0</v>
      </c>
      <c r="AL397" s="7">
        <f t="shared" si="1006"/>
        <v>3343.7777777783663</v>
      </c>
      <c r="AM397" s="7">
        <f t="shared" si="1006"/>
        <v>0</v>
      </c>
      <c r="AN397" s="7">
        <f t="shared" si="1006"/>
        <v>0</v>
      </c>
      <c r="AO397" s="7">
        <f t="shared" si="1006"/>
        <v>0</v>
      </c>
      <c r="AP397" s="7">
        <f t="shared" si="1006"/>
        <v>235.16666666666666</v>
      </c>
      <c r="AQ397" s="7">
        <f t="shared" si="1006"/>
        <v>0</v>
      </c>
      <c r="AR397" s="7">
        <f t="shared" si="1006"/>
        <v>17867.111111110818</v>
      </c>
    </row>
    <row r="398" spans="1:44">
      <c r="D398" s="311"/>
      <c r="H398" s="286"/>
      <c r="I398" s="308"/>
      <c r="K398" s="309"/>
      <c r="P398" s="286"/>
      <c r="Q398" s="286"/>
      <c r="R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  <c r="AH398" s="286"/>
    </row>
    <row r="399" spans="1:44">
      <c r="H399" s="286"/>
      <c r="I399" s="308"/>
      <c r="K399" s="309"/>
      <c r="P399" s="286"/>
      <c r="Q399" s="286"/>
      <c r="R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/>
      <c r="AG399" s="286"/>
      <c r="AH399" s="286"/>
    </row>
    <row r="400" spans="1:44">
      <c r="D400" s="311" t="s">
        <v>227</v>
      </c>
      <c r="H400" s="286"/>
      <c r="I400" s="308"/>
      <c r="K400" s="309"/>
      <c r="P400" s="286"/>
      <c r="Q400" s="286"/>
      <c r="R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E400" s="286"/>
      <c r="AF400" s="286"/>
      <c r="AG400" s="286"/>
      <c r="AH400" s="286"/>
      <c r="AJ400" s="11">
        <f t="shared" ref="AJ400:AJ443" si="1007">+IF((AF400-AG400)&gt;3,((N400-P400)/(AF400-AG400)),(N400-P400)/3)</f>
        <v>0</v>
      </c>
      <c r="AL400" s="11">
        <f t="shared" ref="AL400:AL443" si="1008">+AJ400+R400</f>
        <v>0</v>
      </c>
      <c r="AN400" s="11">
        <f t="shared" ref="AN400:AN443" si="1009">+IF(AF400&lt;AG400,-AC400,0)</f>
        <v>0</v>
      </c>
      <c r="AP400" s="11">
        <f t="shared" ref="AP400:AP443" si="1010">+IF(AF400&gt;AG400,IF(AJ400&gt;0,IF(O400&gt;0,(N400-AA400)/2,IF(AD400&gt;=AG400,(((N400*U400)*Z400)-(AB400+AJ400))/2,((((N400*U400)*Z400)-AA400)+(((N400*U400)*Z400)-(AB400+AJ400)))/2)),0),0)</f>
        <v>0</v>
      </c>
      <c r="AR400" s="11">
        <f t="shared" ref="AR400:AR443" si="1011">+AC400+AN400+(IF(AP400&gt;0,(AP400-AC400),0))</f>
        <v>0</v>
      </c>
    </row>
    <row r="401" spans="3:44">
      <c r="D401" s="282" t="s">
        <v>228</v>
      </c>
      <c r="E401" s="282">
        <v>1986</v>
      </c>
      <c r="F401" s="284">
        <v>8</v>
      </c>
      <c r="G401" s="307">
        <v>0</v>
      </c>
      <c r="H401" s="286"/>
      <c r="I401" s="308" t="s">
        <v>86</v>
      </c>
      <c r="J401" s="284">
        <v>10</v>
      </c>
      <c r="K401" s="309">
        <f t="shared" ref="K401:K439" si="1012">E401+J401</f>
        <v>1996</v>
      </c>
      <c r="N401" s="285">
        <v>1100</v>
      </c>
      <c r="P401" s="286">
        <f t="shared" ref="P401:P439" si="1013">N401-N401*G401</f>
        <v>1100</v>
      </c>
      <c r="Q401" s="286">
        <f t="shared" ref="Q401:Q439" si="1014">P401/J401/12</f>
        <v>9.1666666666666661</v>
      </c>
      <c r="R401" s="286">
        <f t="shared" ref="R401:R434" si="1015">IF(O401&gt;0,0,IF(OR(AD401&gt;AE401,AF401&lt;AG401),0,IF(AND(AF401&gt;=AG401,AF401&lt;=AE401),Q401*((AF401-AG401)*12),IF(AND(AG401&lt;=AD401,AE401&gt;=AD401),((AE401-AD401)*12)*Q401,IF(AF401&gt;AE401,12*Q401,0)))))</f>
        <v>0</v>
      </c>
      <c r="T401" s="286">
        <f t="shared" ref="T401:T434" si="1016">IF(S401&gt;0,S401,R401)</f>
        <v>0</v>
      </c>
      <c r="U401" s="286">
        <v>1</v>
      </c>
      <c r="V401" s="286">
        <f t="shared" ref="V401:V434" si="1017">U401*SUM(R401:S401)</f>
        <v>0</v>
      </c>
      <c r="W401" s="286"/>
      <c r="X401" s="286">
        <f t="shared" ref="X401:X434" si="1018">IF(AD401&gt;AE401,0,IF(AF401&lt;AG401,P401,IF(AND(AF401&gt;=AG401,AF401&lt;=AE401),(P401-T401),IF(AND(AG401&lt;=AD401,AE401&gt;=AD401),0,IF(AF401&gt;AE401,((AG401-AD401)*12)*Q401,0)))))</f>
        <v>1100</v>
      </c>
      <c r="Y401" s="286">
        <f t="shared" ref="Y401:Y434" si="1019">X401*U401</f>
        <v>1100</v>
      </c>
      <c r="Z401" s="286">
        <v>1</v>
      </c>
      <c r="AA401" s="286">
        <f t="shared" ref="AA401:AA434" si="1020">Y401*Z401</f>
        <v>1100</v>
      </c>
      <c r="AB401" s="286">
        <f t="shared" ref="AB401:AB434" si="1021">IF(O401&gt;0,0,AA401+V401*Z401)*Z401</f>
        <v>1100</v>
      </c>
      <c r="AC401" s="286">
        <f t="shared" ref="AC401:AC434" si="1022">IF(O401&gt;0,(N401-AA401)/2,IF(AD401&gt;=AG401,(((N401*U401)*Z401)-AB401)/2,((((N401*U401)*Z401)-AA401)+(((N401*U401)*Z401)-AB401))/2))</f>
        <v>0</v>
      </c>
      <c r="AD401" s="286">
        <f t="shared" ref="AD401:AD443" si="1023">$E401+(($F401-1)/12)</f>
        <v>1986.5833333333333</v>
      </c>
      <c r="AE401" s="286">
        <f t="shared" si="292"/>
        <v>2018</v>
      </c>
      <c r="AF401" s="286">
        <f t="shared" ref="AF401:AF443" si="1024">$K401+(($F401-1)/12)</f>
        <v>1996.5833333333333</v>
      </c>
      <c r="AG401" s="286">
        <f t="shared" si="293"/>
        <v>2017</v>
      </c>
      <c r="AH401" s="286">
        <f t="shared" ref="AH401:AH443" si="1025">$L401+(($M401-1)/12)</f>
        <v>-8.3333333333333329E-2</v>
      </c>
      <c r="AJ401" s="11">
        <f t="shared" si="1007"/>
        <v>0</v>
      </c>
      <c r="AL401" s="11">
        <f t="shared" si="1008"/>
        <v>0</v>
      </c>
      <c r="AN401" s="11">
        <f t="shared" si="1009"/>
        <v>0</v>
      </c>
      <c r="AP401" s="11">
        <f t="shared" si="1010"/>
        <v>0</v>
      </c>
      <c r="AR401" s="11">
        <f t="shared" si="1011"/>
        <v>0</v>
      </c>
    </row>
    <row r="402" spans="3:44">
      <c r="D402" s="282" t="s">
        <v>228</v>
      </c>
      <c r="E402" s="282">
        <v>1984</v>
      </c>
      <c r="F402" s="284">
        <v>10</v>
      </c>
      <c r="G402" s="307">
        <v>0</v>
      </c>
      <c r="H402" s="286"/>
      <c r="I402" s="308" t="s">
        <v>86</v>
      </c>
      <c r="J402" s="284">
        <v>5</v>
      </c>
      <c r="K402" s="309">
        <f t="shared" si="1012"/>
        <v>1989</v>
      </c>
      <c r="N402" s="285">
        <v>657</v>
      </c>
      <c r="P402" s="286">
        <f t="shared" si="1013"/>
        <v>657</v>
      </c>
      <c r="Q402" s="286">
        <f t="shared" si="1014"/>
        <v>10.950000000000001</v>
      </c>
      <c r="R402" s="286">
        <f t="shared" si="1015"/>
        <v>0</v>
      </c>
      <c r="T402" s="286">
        <f t="shared" si="1016"/>
        <v>0</v>
      </c>
      <c r="U402" s="286">
        <v>1</v>
      </c>
      <c r="V402" s="286">
        <f t="shared" si="1017"/>
        <v>0</v>
      </c>
      <c r="W402" s="286"/>
      <c r="X402" s="286">
        <f t="shared" si="1018"/>
        <v>657</v>
      </c>
      <c r="Y402" s="286">
        <f t="shared" si="1019"/>
        <v>657</v>
      </c>
      <c r="Z402" s="286">
        <v>1</v>
      </c>
      <c r="AA402" s="286">
        <f t="shared" si="1020"/>
        <v>657</v>
      </c>
      <c r="AB402" s="286">
        <f t="shared" si="1021"/>
        <v>657</v>
      </c>
      <c r="AC402" s="286">
        <f t="shared" si="1022"/>
        <v>0</v>
      </c>
      <c r="AD402" s="286">
        <f t="shared" si="1023"/>
        <v>1984.75</v>
      </c>
      <c r="AE402" s="286">
        <f t="shared" si="292"/>
        <v>2018</v>
      </c>
      <c r="AF402" s="286">
        <f t="shared" si="1024"/>
        <v>1989.75</v>
      </c>
      <c r="AG402" s="286">
        <f t="shared" si="293"/>
        <v>2017</v>
      </c>
      <c r="AH402" s="286">
        <f t="shared" si="1025"/>
        <v>-8.3333333333333329E-2</v>
      </c>
      <c r="AJ402" s="11">
        <f t="shared" si="1007"/>
        <v>0</v>
      </c>
      <c r="AL402" s="11">
        <f t="shared" si="1008"/>
        <v>0</v>
      </c>
      <c r="AN402" s="11">
        <f t="shared" si="1009"/>
        <v>0</v>
      </c>
      <c r="AP402" s="11">
        <f t="shared" si="1010"/>
        <v>0</v>
      </c>
      <c r="AR402" s="11">
        <f t="shared" si="1011"/>
        <v>0</v>
      </c>
    </row>
    <row r="403" spans="3:44">
      <c r="C403" s="282">
        <v>48</v>
      </c>
      <c r="D403" s="318" t="s">
        <v>230</v>
      </c>
      <c r="E403" s="282">
        <v>1994</v>
      </c>
      <c r="F403" s="284">
        <v>10</v>
      </c>
      <c r="G403" s="307">
        <v>0</v>
      </c>
      <c r="H403" s="286"/>
      <c r="I403" s="308" t="s">
        <v>86</v>
      </c>
      <c r="J403" s="284">
        <v>5</v>
      </c>
      <c r="K403" s="309">
        <f t="shared" si="1012"/>
        <v>1999</v>
      </c>
      <c r="N403" s="285">
        <v>5935</v>
      </c>
      <c r="P403" s="286">
        <f t="shared" si="1013"/>
        <v>5935</v>
      </c>
      <c r="Q403" s="286">
        <f t="shared" si="1014"/>
        <v>98.916666666666671</v>
      </c>
      <c r="R403" s="286">
        <f t="shared" si="1015"/>
        <v>0</v>
      </c>
      <c r="T403" s="286">
        <f t="shared" si="1016"/>
        <v>0</v>
      </c>
      <c r="U403" s="286">
        <v>1</v>
      </c>
      <c r="V403" s="286">
        <f t="shared" si="1017"/>
        <v>0</v>
      </c>
      <c r="W403" s="286"/>
      <c r="X403" s="286">
        <f t="shared" si="1018"/>
        <v>5935</v>
      </c>
      <c r="Y403" s="286">
        <f t="shared" si="1019"/>
        <v>5935</v>
      </c>
      <c r="Z403" s="286">
        <v>1</v>
      </c>
      <c r="AA403" s="286">
        <f t="shared" si="1020"/>
        <v>5935</v>
      </c>
      <c r="AB403" s="286">
        <f t="shared" si="1021"/>
        <v>5935</v>
      </c>
      <c r="AC403" s="286">
        <f t="shared" si="1022"/>
        <v>0</v>
      </c>
      <c r="AD403" s="286">
        <f t="shared" si="1023"/>
        <v>1994.75</v>
      </c>
      <c r="AE403" s="286">
        <f t="shared" si="292"/>
        <v>2018</v>
      </c>
      <c r="AF403" s="286">
        <f t="shared" si="1024"/>
        <v>1999.75</v>
      </c>
      <c r="AG403" s="286">
        <f t="shared" si="293"/>
        <v>2017</v>
      </c>
      <c r="AH403" s="286">
        <f t="shared" si="1025"/>
        <v>-8.3333333333333329E-2</v>
      </c>
      <c r="AJ403" s="11">
        <f t="shared" si="1007"/>
        <v>0</v>
      </c>
      <c r="AL403" s="11">
        <f t="shared" si="1008"/>
        <v>0</v>
      </c>
      <c r="AN403" s="11">
        <f t="shared" si="1009"/>
        <v>0</v>
      </c>
      <c r="AP403" s="11">
        <f t="shared" si="1010"/>
        <v>0</v>
      </c>
      <c r="AR403" s="11">
        <f t="shared" si="1011"/>
        <v>0</v>
      </c>
    </row>
    <row r="404" spans="3:44">
      <c r="D404" s="306" t="s">
        <v>231</v>
      </c>
      <c r="E404" s="282">
        <v>1996</v>
      </c>
      <c r="F404" s="284">
        <v>8</v>
      </c>
      <c r="G404" s="307">
        <v>0</v>
      </c>
      <c r="H404" s="286"/>
      <c r="I404" s="308" t="s">
        <v>86</v>
      </c>
      <c r="J404" s="284">
        <v>5</v>
      </c>
      <c r="K404" s="309">
        <f t="shared" si="1012"/>
        <v>2001</v>
      </c>
      <c r="N404" s="285">
        <v>2991</v>
      </c>
      <c r="P404" s="286">
        <f t="shared" si="1013"/>
        <v>2991</v>
      </c>
      <c r="Q404" s="286">
        <f t="shared" si="1014"/>
        <v>49.85</v>
      </c>
      <c r="R404" s="286">
        <f t="shared" si="1015"/>
        <v>0</v>
      </c>
      <c r="T404" s="286">
        <f t="shared" si="1016"/>
        <v>0</v>
      </c>
      <c r="U404" s="286">
        <v>1</v>
      </c>
      <c r="V404" s="286">
        <f t="shared" si="1017"/>
        <v>0</v>
      </c>
      <c r="W404" s="286"/>
      <c r="X404" s="286">
        <f t="shared" si="1018"/>
        <v>2991</v>
      </c>
      <c r="Y404" s="286">
        <f t="shared" si="1019"/>
        <v>2991</v>
      </c>
      <c r="Z404" s="286">
        <v>1</v>
      </c>
      <c r="AA404" s="286">
        <f t="shared" si="1020"/>
        <v>2991</v>
      </c>
      <c r="AB404" s="286">
        <f t="shared" si="1021"/>
        <v>2991</v>
      </c>
      <c r="AC404" s="286">
        <f t="shared" si="1022"/>
        <v>0</v>
      </c>
      <c r="AD404" s="286">
        <f t="shared" si="1023"/>
        <v>1996.5833333333333</v>
      </c>
      <c r="AE404" s="286">
        <f t="shared" si="292"/>
        <v>2018</v>
      </c>
      <c r="AF404" s="286">
        <f t="shared" si="1024"/>
        <v>2001.5833333333333</v>
      </c>
      <c r="AG404" s="286">
        <f t="shared" si="293"/>
        <v>2017</v>
      </c>
      <c r="AH404" s="286">
        <f t="shared" si="1025"/>
        <v>-8.3333333333333329E-2</v>
      </c>
      <c r="AJ404" s="11">
        <f t="shared" si="1007"/>
        <v>0</v>
      </c>
      <c r="AL404" s="11">
        <f t="shared" si="1008"/>
        <v>0</v>
      </c>
      <c r="AN404" s="11">
        <f t="shared" si="1009"/>
        <v>0</v>
      </c>
      <c r="AP404" s="11">
        <f t="shared" si="1010"/>
        <v>0</v>
      </c>
      <c r="AR404" s="11">
        <f t="shared" si="1011"/>
        <v>0</v>
      </c>
    </row>
    <row r="405" spans="3:44">
      <c r="D405" s="318" t="s">
        <v>232</v>
      </c>
      <c r="E405" s="282">
        <v>1996</v>
      </c>
      <c r="F405" s="284">
        <v>1</v>
      </c>
      <c r="G405" s="307">
        <v>0</v>
      </c>
      <c r="H405" s="286"/>
      <c r="I405" s="308" t="s">
        <v>86</v>
      </c>
      <c r="J405" s="284">
        <v>5</v>
      </c>
      <c r="K405" s="309">
        <f t="shared" si="1012"/>
        <v>2001</v>
      </c>
      <c r="N405" s="285">
        <v>1318</v>
      </c>
      <c r="P405" s="286">
        <f t="shared" si="1013"/>
        <v>1318</v>
      </c>
      <c r="Q405" s="286">
        <f t="shared" si="1014"/>
        <v>21.966666666666669</v>
      </c>
      <c r="R405" s="286">
        <f t="shared" si="1015"/>
        <v>0</v>
      </c>
      <c r="T405" s="286">
        <f t="shared" si="1016"/>
        <v>0</v>
      </c>
      <c r="U405" s="286">
        <v>1</v>
      </c>
      <c r="V405" s="286">
        <f t="shared" si="1017"/>
        <v>0</v>
      </c>
      <c r="W405" s="286"/>
      <c r="X405" s="286">
        <f t="shared" si="1018"/>
        <v>1318</v>
      </c>
      <c r="Y405" s="286">
        <f t="shared" si="1019"/>
        <v>1318</v>
      </c>
      <c r="Z405" s="286">
        <v>1</v>
      </c>
      <c r="AA405" s="286">
        <f t="shared" si="1020"/>
        <v>1318</v>
      </c>
      <c r="AB405" s="286">
        <f t="shared" si="1021"/>
        <v>1318</v>
      </c>
      <c r="AC405" s="286">
        <f t="shared" si="1022"/>
        <v>0</v>
      </c>
      <c r="AD405" s="286">
        <f t="shared" si="1023"/>
        <v>1996</v>
      </c>
      <c r="AE405" s="286">
        <f t="shared" si="292"/>
        <v>2018</v>
      </c>
      <c r="AF405" s="286">
        <f t="shared" si="1024"/>
        <v>2001</v>
      </c>
      <c r="AG405" s="286">
        <f t="shared" si="293"/>
        <v>2017</v>
      </c>
      <c r="AH405" s="286">
        <f t="shared" si="1025"/>
        <v>-8.3333333333333329E-2</v>
      </c>
      <c r="AJ405" s="11">
        <f t="shared" si="1007"/>
        <v>0</v>
      </c>
      <c r="AL405" s="11">
        <f t="shared" si="1008"/>
        <v>0</v>
      </c>
      <c r="AN405" s="11">
        <f t="shared" si="1009"/>
        <v>0</v>
      </c>
      <c r="AP405" s="11">
        <f t="shared" si="1010"/>
        <v>0</v>
      </c>
      <c r="AR405" s="11">
        <f t="shared" si="1011"/>
        <v>0</v>
      </c>
    </row>
    <row r="406" spans="3:44">
      <c r="D406" s="306" t="s">
        <v>232</v>
      </c>
      <c r="E406" s="282">
        <v>1997</v>
      </c>
      <c r="F406" s="284">
        <v>6</v>
      </c>
      <c r="G406" s="307">
        <v>0</v>
      </c>
      <c r="H406" s="286"/>
      <c r="I406" s="308" t="s">
        <v>86</v>
      </c>
      <c r="J406" s="284">
        <v>5</v>
      </c>
      <c r="K406" s="309">
        <f t="shared" si="1012"/>
        <v>2002</v>
      </c>
      <c r="N406" s="285">
        <v>3469</v>
      </c>
      <c r="P406" s="286">
        <f t="shared" si="1013"/>
        <v>3469</v>
      </c>
      <c r="Q406" s="286">
        <f t="shared" si="1014"/>
        <v>57.816666666666663</v>
      </c>
      <c r="R406" s="286">
        <f t="shared" si="1015"/>
        <v>0</v>
      </c>
      <c r="T406" s="286">
        <f t="shared" si="1016"/>
        <v>0</v>
      </c>
      <c r="U406" s="286">
        <v>1</v>
      </c>
      <c r="V406" s="286">
        <f t="shared" si="1017"/>
        <v>0</v>
      </c>
      <c r="W406" s="286"/>
      <c r="X406" s="286">
        <f t="shared" si="1018"/>
        <v>3469</v>
      </c>
      <c r="Y406" s="286">
        <f t="shared" si="1019"/>
        <v>3469</v>
      </c>
      <c r="Z406" s="286">
        <v>1</v>
      </c>
      <c r="AA406" s="286">
        <f t="shared" si="1020"/>
        <v>3469</v>
      </c>
      <c r="AB406" s="286">
        <f t="shared" si="1021"/>
        <v>3469</v>
      </c>
      <c r="AC406" s="286">
        <f t="shared" si="1022"/>
        <v>0</v>
      </c>
      <c r="AD406" s="286">
        <f t="shared" si="1023"/>
        <v>1997.4166666666667</v>
      </c>
      <c r="AE406" s="286">
        <f t="shared" si="292"/>
        <v>2018</v>
      </c>
      <c r="AF406" s="286">
        <f t="shared" si="1024"/>
        <v>2002.4166666666667</v>
      </c>
      <c r="AG406" s="286">
        <f t="shared" si="293"/>
        <v>2017</v>
      </c>
      <c r="AH406" s="286">
        <f t="shared" si="1025"/>
        <v>-8.3333333333333329E-2</v>
      </c>
      <c r="AJ406" s="11">
        <f t="shared" si="1007"/>
        <v>0</v>
      </c>
      <c r="AL406" s="11">
        <f t="shared" si="1008"/>
        <v>0</v>
      </c>
      <c r="AN406" s="11">
        <f t="shared" si="1009"/>
        <v>0</v>
      </c>
      <c r="AP406" s="11">
        <f t="shared" si="1010"/>
        <v>0</v>
      </c>
      <c r="AR406" s="11">
        <f t="shared" si="1011"/>
        <v>0</v>
      </c>
    </row>
    <row r="407" spans="3:44">
      <c r="D407" s="306" t="s">
        <v>232</v>
      </c>
      <c r="E407" s="282">
        <v>1997</v>
      </c>
      <c r="F407" s="284">
        <v>10</v>
      </c>
      <c r="G407" s="307">
        <v>0</v>
      </c>
      <c r="H407" s="286"/>
      <c r="I407" s="308" t="s">
        <v>86</v>
      </c>
      <c r="J407" s="284">
        <v>5</v>
      </c>
      <c r="K407" s="309">
        <f t="shared" si="1012"/>
        <v>2002</v>
      </c>
      <c r="N407" s="285">
        <v>3773</v>
      </c>
      <c r="P407" s="286">
        <f t="shared" si="1013"/>
        <v>3773</v>
      </c>
      <c r="Q407" s="286">
        <f t="shared" si="1014"/>
        <v>62.883333333333333</v>
      </c>
      <c r="R407" s="286">
        <f t="shared" si="1015"/>
        <v>0</v>
      </c>
      <c r="T407" s="286">
        <f t="shared" si="1016"/>
        <v>0</v>
      </c>
      <c r="U407" s="286">
        <v>1</v>
      </c>
      <c r="V407" s="286">
        <f t="shared" si="1017"/>
        <v>0</v>
      </c>
      <c r="W407" s="286"/>
      <c r="X407" s="286">
        <f t="shared" si="1018"/>
        <v>3773</v>
      </c>
      <c r="Y407" s="286">
        <f t="shared" si="1019"/>
        <v>3773</v>
      </c>
      <c r="Z407" s="286">
        <v>1</v>
      </c>
      <c r="AA407" s="286">
        <f t="shared" si="1020"/>
        <v>3773</v>
      </c>
      <c r="AB407" s="286">
        <f t="shared" si="1021"/>
        <v>3773</v>
      </c>
      <c r="AC407" s="286">
        <f t="shared" si="1022"/>
        <v>0</v>
      </c>
      <c r="AD407" s="286">
        <f t="shared" si="1023"/>
        <v>1997.75</v>
      </c>
      <c r="AE407" s="286">
        <f t="shared" si="292"/>
        <v>2018</v>
      </c>
      <c r="AF407" s="286">
        <f t="shared" si="1024"/>
        <v>2002.75</v>
      </c>
      <c r="AG407" s="286">
        <f t="shared" si="293"/>
        <v>2017</v>
      </c>
      <c r="AH407" s="286">
        <f t="shared" si="1025"/>
        <v>-8.3333333333333329E-2</v>
      </c>
      <c r="AJ407" s="11">
        <f t="shared" si="1007"/>
        <v>0</v>
      </c>
      <c r="AL407" s="11">
        <f t="shared" si="1008"/>
        <v>0</v>
      </c>
      <c r="AN407" s="11">
        <f t="shared" si="1009"/>
        <v>0</v>
      </c>
      <c r="AP407" s="11">
        <f t="shared" si="1010"/>
        <v>0</v>
      </c>
      <c r="AR407" s="11">
        <f t="shared" si="1011"/>
        <v>0</v>
      </c>
    </row>
    <row r="408" spans="3:44">
      <c r="D408" s="306" t="s">
        <v>233</v>
      </c>
      <c r="E408" s="282">
        <v>1998</v>
      </c>
      <c r="F408" s="284">
        <v>2</v>
      </c>
      <c r="G408" s="307">
        <v>0</v>
      </c>
      <c r="H408" s="286"/>
      <c r="I408" s="308" t="s">
        <v>86</v>
      </c>
      <c r="J408" s="284">
        <v>5</v>
      </c>
      <c r="K408" s="309">
        <f t="shared" si="1012"/>
        <v>2003</v>
      </c>
      <c r="N408" s="285">
        <v>15000</v>
      </c>
      <c r="P408" s="286">
        <f t="shared" si="1013"/>
        <v>15000</v>
      </c>
      <c r="Q408" s="286">
        <f t="shared" si="1014"/>
        <v>250</v>
      </c>
      <c r="R408" s="286">
        <f t="shared" si="1015"/>
        <v>0</v>
      </c>
      <c r="T408" s="286">
        <f t="shared" si="1016"/>
        <v>0</v>
      </c>
      <c r="U408" s="286">
        <v>1</v>
      </c>
      <c r="V408" s="286">
        <f t="shared" si="1017"/>
        <v>0</v>
      </c>
      <c r="W408" s="286"/>
      <c r="X408" s="286">
        <f t="shared" si="1018"/>
        <v>15000</v>
      </c>
      <c r="Y408" s="286">
        <f t="shared" si="1019"/>
        <v>15000</v>
      </c>
      <c r="Z408" s="286">
        <v>1</v>
      </c>
      <c r="AA408" s="286">
        <f t="shared" si="1020"/>
        <v>15000</v>
      </c>
      <c r="AB408" s="286">
        <f t="shared" si="1021"/>
        <v>15000</v>
      </c>
      <c r="AC408" s="286">
        <f t="shared" si="1022"/>
        <v>0</v>
      </c>
      <c r="AD408" s="286">
        <f t="shared" si="1023"/>
        <v>1998.0833333333333</v>
      </c>
      <c r="AE408" s="286">
        <f t="shared" si="292"/>
        <v>2018</v>
      </c>
      <c r="AF408" s="286">
        <f t="shared" si="1024"/>
        <v>2003.0833333333333</v>
      </c>
      <c r="AG408" s="286">
        <f t="shared" si="293"/>
        <v>2017</v>
      </c>
      <c r="AH408" s="286">
        <f t="shared" si="1025"/>
        <v>-8.3333333333333329E-2</v>
      </c>
      <c r="AJ408" s="11">
        <f t="shared" si="1007"/>
        <v>0</v>
      </c>
      <c r="AL408" s="11">
        <f t="shared" si="1008"/>
        <v>0</v>
      </c>
      <c r="AN408" s="11">
        <f t="shared" si="1009"/>
        <v>0</v>
      </c>
      <c r="AP408" s="11">
        <f t="shared" si="1010"/>
        <v>0</v>
      </c>
      <c r="AR408" s="11">
        <f t="shared" si="1011"/>
        <v>0</v>
      </c>
    </row>
    <row r="409" spans="3:44">
      <c r="D409" s="306" t="s">
        <v>234</v>
      </c>
      <c r="E409" s="282">
        <v>1998</v>
      </c>
      <c r="F409" s="284">
        <v>7</v>
      </c>
      <c r="G409" s="307">
        <v>0</v>
      </c>
      <c r="H409" s="286"/>
      <c r="I409" s="308" t="s">
        <v>86</v>
      </c>
      <c r="J409" s="284">
        <v>5</v>
      </c>
      <c r="K409" s="309">
        <f t="shared" si="1012"/>
        <v>2003</v>
      </c>
      <c r="N409" s="285">
        <v>2432</v>
      </c>
      <c r="P409" s="286">
        <f t="shared" si="1013"/>
        <v>2432</v>
      </c>
      <c r="Q409" s="286">
        <f t="shared" si="1014"/>
        <v>40.533333333333331</v>
      </c>
      <c r="R409" s="286">
        <f t="shared" si="1015"/>
        <v>0</v>
      </c>
      <c r="T409" s="286">
        <f t="shared" si="1016"/>
        <v>0</v>
      </c>
      <c r="U409" s="286">
        <v>1</v>
      </c>
      <c r="V409" s="286">
        <f t="shared" si="1017"/>
        <v>0</v>
      </c>
      <c r="W409" s="286"/>
      <c r="X409" s="286">
        <f t="shared" si="1018"/>
        <v>2432</v>
      </c>
      <c r="Y409" s="286">
        <f t="shared" si="1019"/>
        <v>2432</v>
      </c>
      <c r="Z409" s="286">
        <v>1</v>
      </c>
      <c r="AA409" s="286">
        <f t="shared" si="1020"/>
        <v>2432</v>
      </c>
      <c r="AB409" s="286">
        <f t="shared" si="1021"/>
        <v>2432</v>
      </c>
      <c r="AC409" s="286">
        <f t="shared" si="1022"/>
        <v>0</v>
      </c>
      <c r="AD409" s="286">
        <f t="shared" si="1023"/>
        <v>1998.5</v>
      </c>
      <c r="AE409" s="286">
        <f t="shared" si="292"/>
        <v>2018</v>
      </c>
      <c r="AF409" s="286">
        <f t="shared" si="1024"/>
        <v>2003.5</v>
      </c>
      <c r="AG409" s="286">
        <f t="shared" si="293"/>
        <v>2017</v>
      </c>
      <c r="AH409" s="286">
        <f t="shared" si="1025"/>
        <v>-8.3333333333333329E-2</v>
      </c>
      <c r="AJ409" s="11">
        <f t="shared" si="1007"/>
        <v>0</v>
      </c>
      <c r="AL409" s="11">
        <f t="shared" si="1008"/>
        <v>0</v>
      </c>
      <c r="AN409" s="11">
        <f t="shared" si="1009"/>
        <v>0</v>
      </c>
      <c r="AP409" s="11">
        <f t="shared" si="1010"/>
        <v>0</v>
      </c>
      <c r="AR409" s="11">
        <f t="shared" si="1011"/>
        <v>0</v>
      </c>
    </row>
    <row r="410" spans="3:44">
      <c r="D410" s="306" t="s">
        <v>229</v>
      </c>
      <c r="E410" s="282">
        <v>1998</v>
      </c>
      <c r="F410" s="284">
        <v>11</v>
      </c>
      <c r="G410" s="307">
        <v>0</v>
      </c>
      <c r="H410" s="286"/>
      <c r="I410" s="308" t="s">
        <v>86</v>
      </c>
      <c r="J410" s="284">
        <v>5</v>
      </c>
      <c r="K410" s="309">
        <f t="shared" si="1012"/>
        <v>2003</v>
      </c>
      <c r="N410" s="285">
        <v>1890</v>
      </c>
      <c r="P410" s="286">
        <f t="shared" si="1013"/>
        <v>1890</v>
      </c>
      <c r="Q410" s="286">
        <f t="shared" si="1014"/>
        <v>31.5</v>
      </c>
      <c r="R410" s="286">
        <f t="shared" si="1015"/>
        <v>0</v>
      </c>
      <c r="T410" s="286">
        <f t="shared" si="1016"/>
        <v>0</v>
      </c>
      <c r="U410" s="286">
        <v>1</v>
      </c>
      <c r="V410" s="286">
        <f t="shared" si="1017"/>
        <v>0</v>
      </c>
      <c r="W410" s="286"/>
      <c r="X410" s="286">
        <f t="shared" si="1018"/>
        <v>1890</v>
      </c>
      <c r="Y410" s="286">
        <f t="shared" si="1019"/>
        <v>1890</v>
      </c>
      <c r="Z410" s="286">
        <v>1</v>
      </c>
      <c r="AA410" s="286">
        <f t="shared" si="1020"/>
        <v>1890</v>
      </c>
      <c r="AB410" s="286">
        <f t="shared" si="1021"/>
        <v>1890</v>
      </c>
      <c r="AC410" s="286">
        <f t="shared" si="1022"/>
        <v>0</v>
      </c>
      <c r="AD410" s="286">
        <f t="shared" si="1023"/>
        <v>1998.8333333333333</v>
      </c>
      <c r="AE410" s="286">
        <f t="shared" si="292"/>
        <v>2018</v>
      </c>
      <c r="AF410" s="286">
        <f t="shared" si="1024"/>
        <v>2003.8333333333333</v>
      </c>
      <c r="AG410" s="286">
        <f t="shared" si="293"/>
        <v>2017</v>
      </c>
      <c r="AH410" s="286">
        <f t="shared" si="1025"/>
        <v>-8.3333333333333329E-2</v>
      </c>
      <c r="AJ410" s="11">
        <f t="shared" si="1007"/>
        <v>0</v>
      </c>
      <c r="AL410" s="11">
        <f t="shared" si="1008"/>
        <v>0</v>
      </c>
      <c r="AN410" s="11">
        <f t="shared" si="1009"/>
        <v>0</v>
      </c>
      <c r="AP410" s="11">
        <f t="shared" si="1010"/>
        <v>0</v>
      </c>
      <c r="AR410" s="11">
        <f t="shared" si="1011"/>
        <v>0</v>
      </c>
    </row>
    <row r="411" spans="3:44">
      <c r="C411" s="282">
        <v>98</v>
      </c>
      <c r="D411" s="318" t="s">
        <v>235</v>
      </c>
      <c r="E411" s="282">
        <v>1999</v>
      </c>
      <c r="F411" s="284">
        <v>12</v>
      </c>
      <c r="G411" s="307">
        <v>0</v>
      </c>
      <c r="H411" s="286"/>
      <c r="I411" s="308" t="s">
        <v>86</v>
      </c>
      <c r="J411" s="284">
        <v>5</v>
      </c>
      <c r="K411" s="309">
        <f t="shared" si="1012"/>
        <v>2004</v>
      </c>
      <c r="N411" s="285">
        <v>24699</v>
      </c>
      <c r="P411" s="286">
        <f t="shared" si="1013"/>
        <v>24699</v>
      </c>
      <c r="Q411" s="286">
        <f t="shared" si="1014"/>
        <v>411.65000000000003</v>
      </c>
      <c r="R411" s="286">
        <f t="shared" si="1015"/>
        <v>0</v>
      </c>
      <c r="T411" s="286">
        <f t="shared" si="1016"/>
        <v>0</v>
      </c>
      <c r="U411" s="286">
        <v>1</v>
      </c>
      <c r="V411" s="286">
        <f t="shared" si="1017"/>
        <v>0</v>
      </c>
      <c r="W411" s="286"/>
      <c r="X411" s="286">
        <f t="shared" si="1018"/>
        <v>24699</v>
      </c>
      <c r="Y411" s="286">
        <f t="shared" si="1019"/>
        <v>24699</v>
      </c>
      <c r="Z411" s="286">
        <v>1</v>
      </c>
      <c r="AA411" s="286">
        <f t="shared" si="1020"/>
        <v>24699</v>
      </c>
      <c r="AB411" s="286">
        <f t="shared" si="1021"/>
        <v>24699</v>
      </c>
      <c r="AC411" s="286">
        <f t="shared" si="1022"/>
        <v>0</v>
      </c>
      <c r="AD411" s="286">
        <f t="shared" si="1023"/>
        <v>1999.9166666666667</v>
      </c>
      <c r="AE411" s="286">
        <f t="shared" si="292"/>
        <v>2018</v>
      </c>
      <c r="AF411" s="286">
        <f t="shared" si="1024"/>
        <v>2004.9166666666667</v>
      </c>
      <c r="AG411" s="286">
        <f t="shared" si="293"/>
        <v>2017</v>
      </c>
      <c r="AH411" s="286">
        <f t="shared" si="1025"/>
        <v>-8.3333333333333329E-2</v>
      </c>
      <c r="AJ411" s="11">
        <f t="shared" si="1007"/>
        <v>0</v>
      </c>
      <c r="AL411" s="11">
        <f t="shared" si="1008"/>
        <v>0</v>
      </c>
      <c r="AN411" s="11">
        <f t="shared" si="1009"/>
        <v>0</v>
      </c>
      <c r="AP411" s="11">
        <f t="shared" si="1010"/>
        <v>0</v>
      </c>
      <c r="AR411" s="11">
        <f t="shared" si="1011"/>
        <v>0</v>
      </c>
    </row>
    <row r="412" spans="3:44">
      <c r="D412" s="306" t="s">
        <v>236</v>
      </c>
      <c r="E412" s="282">
        <v>1999</v>
      </c>
      <c r="F412" s="284">
        <v>1</v>
      </c>
      <c r="G412" s="307">
        <v>0</v>
      </c>
      <c r="H412" s="286"/>
      <c r="I412" s="308" t="s">
        <v>86</v>
      </c>
      <c r="J412" s="284">
        <v>5</v>
      </c>
      <c r="K412" s="309">
        <f t="shared" si="1012"/>
        <v>2004</v>
      </c>
      <c r="N412" s="285">
        <v>1705.24</v>
      </c>
      <c r="P412" s="286">
        <f t="shared" si="1013"/>
        <v>1705.24</v>
      </c>
      <c r="Q412" s="286">
        <f t="shared" si="1014"/>
        <v>28.420666666666666</v>
      </c>
      <c r="R412" s="286">
        <f t="shared" si="1015"/>
        <v>0</v>
      </c>
      <c r="T412" s="286">
        <f t="shared" si="1016"/>
        <v>0</v>
      </c>
      <c r="U412" s="286">
        <v>1</v>
      </c>
      <c r="V412" s="286">
        <f t="shared" si="1017"/>
        <v>0</v>
      </c>
      <c r="W412" s="286"/>
      <c r="X412" s="286">
        <f t="shared" si="1018"/>
        <v>1705.24</v>
      </c>
      <c r="Y412" s="286">
        <f t="shared" si="1019"/>
        <v>1705.24</v>
      </c>
      <c r="Z412" s="286">
        <v>1</v>
      </c>
      <c r="AA412" s="286">
        <f t="shared" si="1020"/>
        <v>1705.24</v>
      </c>
      <c r="AB412" s="286">
        <f t="shared" si="1021"/>
        <v>1705.24</v>
      </c>
      <c r="AC412" s="286">
        <f t="shared" si="1022"/>
        <v>0</v>
      </c>
      <c r="AD412" s="286">
        <f t="shared" si="1023"/>
        <v>1999</v>
      </c>
      <c r="AE412" s="286">
        <f t="shared" si="292"/>
        <v>2018</v>
      </c>
      <c r="AF412" s="286">
        <f t="shared" si="1024"/>
        <v>2004</v>
      </c>
      <c r="AG412" s="286">
        <f t="shared" si="293"/>
        <v>2017</v>
      </c>
      <c r="AH412" s="286">
        <f t="shared" si="1025"/>
        <v>-8.3333333333333329E-2</v>
      </c>
      <c r="AJ412" s="11">
        <f t="shared" si="1007"/>
        <v>0</v>
      </c>
      <c r="AL412" s="11">
        <f t="shared" si="1008"/>
        <v>0</v>
      </c>
      <c r="AN412" s="11">
        <f t="shared" si="1009"/>
        <v>0</v>
      </c>
      <c r="AP412" s="11">
        <f t="shared" si="1010"/>
        <v>0</v>
      </c>
      <c r="AR412" s="11">
        <f t="shared" si="1011"/>
        <v>0</v>
      </c>
    </row>
    <row r="413" spans="3:44">
      <c r="D413" s="306" t="s">
        <v>22</v>
      </c>
      <c r="E413" s="282">
        <v>1999</v>
      </c>
      <c r="F413" s="284">
        <v>10</v>
      </c>
      <c r="G413" s="307">
        <v>0</v>
      </c>
      <c r="H413" s="286"/>
      <c r="I413" s="308" t="s">
        <v>86</v>
      </c>
      <c r="J413" s="284">
        <v>5</v>
      </c>
      <c r="K413" s="309">
        <f t="shared" si="1012"/>
        <v>2004</v>
      </c>
      <c r="N413" s="285">
        <v>2464.2199999999998</v>
      </c>
      <c r="P413" s="286">
        <f t="shared" si="1013"/>
        <v>2464.2199999999998</v>
      </c>
      <c r="Q413" s="286">
        <f t="shared" si="1014"/>
        <v>41.07033333333333</v>
      </c>
      <c r="R413" s="286">
        <f t="shared" si="1015"/>
        <v>0</v>
      </c>
      <c r="T413" s="286">
        <f t="shared" si="1016"/>
        <v>0</v>
      </c>
      <c r="U413" s="286">
        <v>1</v>
      </c>
      <c r="V413" s="286">
        <f t="shared" si="1017"/>
        <v>0</v>
      </c>
      <c r="W413" s="286"/>
      <c r="X413" s="286">
        <f t="shared" si="1018"/>
        <v>2464.2199999999998</v>
      </c>
      <c r="Y413" s="286">
        <f t="shared" si="1019"/>
        <v>2464.2199999999998</v>
      </c>
      <c r="Z413" s="286">
        <v>1</v>
      </c>
      <c r="AA413" s="286">
        <f t="shared" si="1020"/>
        <v>2464.2199999999998</v>
      </c>
      <c r="AB413" s="286">
        <f t="shared" si="1021"/>
        <v>2464.2199999999998</v>
      </c>
      <c r="AC413" s="286">
        <f t="shared" si="1022"/>
        <v>0</v>
      </c>
      <c r="AD413" s="286">
        <f t="shared" si="1023"/>
        <v>1999.75</v>
      </c>
      <c r="AE413" s="286">
        <f t="shared" si="292"/>
        <v>2018</v>
      </c>
      <c r="AF413" s="286">
        <f t="shared" si="1024"/>
        <v>2004.75</v>
      </c>
      <c r="AG413" s="286">
        <f t="shared" si="293"/>
        <v>2017</v>
      </c>
      <c r="AH413" s="286">
        <f t="shared" si="1025"/>
        <v>-8.3333333333333329E-2</v>
      </c>
      <c r="AJ413" s="11">
        <f t="shared" si="1007"/>
        <v>0</v>
      </c>
      <c r="AL413" s="11">
        <f t="shared" si="1008"/>
        <v>0</v>
      </c>
      <c r="AN413" s="11">
        <f t="shared" si="1009"/>
        <v>0</v>
      </c>
      <c r="AP413" s="11">
        <f t="shared" si="1010"/>
        <v>0</v>
      </c>
      <c r="AR413" s="11">
        <f t="shared" si="1011"/>
        <v>0</v>
      </c>
    </row>
    <row r="414" spans="3:44">
      <c r="D414" s="306" t="s">
        <v>22</v>
      </c>
      <c r="E414" s="282">
        <v>1999</v>
      </c>
      <c r="F414" s="284">
        <v>6</v>
      </c>
      <c r="G414" s="307">
        <v>0</v>
      </c>
      <c r="H414" s="286"/>
      <c r="I414" s="308" t="s">
        <v>86</v>
      </c>
      <c r="J414" s="284">
        <v>5</v>
      </c>
      <c r="K414" s="309">
        <f t="shared" si="1012"/>
        <v>2004</v>
      </c>
      <c r="N414" s="285">
        <v>1236.0999999999999</v>
      </c>
      <c r="P414" s="286">
        <f t="shared" si="1013"/>
        <v>1236.0999999999999</v>
      </c>
      <c r="Q414" s="286">
        <f t="shared" si="1014"/>
        <v>20.601666666666663</v>
      </c>
      <c r="R414" s="286">
        <f t="shared" si="1015"/>
        <v>0</v>
      </c>
      <c r="T414" s="286">
        <f t="shared" si="1016"/>
        <v>0</v>
      </c>
      <c r="U414" s="286">
        <v>1</v>
      </c>
      <c r="V414" s="286">
        <f t="shared" si="1017"/>
        <v>0</v>
      </c>
      <c r="W414" s="286"/>
      <c r="X414" s="286">
        <f t="shared" si="1018"/>
        <v>1236.0999999999999</v>
      </c>
      <c r="Y414" s="286">
        <f t="shared" si="1019"/>
        <v>1236.0999999999999</v>
      </c>
      <c r="Z414" s="286">
        <v>1</v>
      </c>
      <c r="AA414" s="286">
        <f t="shared" si="1020"/>
        <v>1236.0999999999999</v>
      </c>
      <c r="AB414" s="286">
        <f t="shared" si="1021"/>
        <v>1236.0999999999999</v>
      </c>
      <c r="AC414" s="286">
        <f t="shared" si="1022"/>
        <v>0</v>
      </c>
      <c r="AD414" s="286">
        <f t="shared" si="1023"/>
        <v>1999.4166666666667</v>
      </c>
      <c r="AE414" s="286">
        <f t="shared" si="292"/>
        <v>2018</v>
      </c>
      <c r="AF414" s="286">
        <f t="shared" si="1024"/>
        <v>2004.4166666666667</v>
      </c>
      <c r="AG414" s="286">
        <f t="shared" si="293"/>
        <v>2017</v>
      </c>
      <c r="AH414" s="286">
        <f t="shared" si="1025"/>
        <v>-8.3333333333333329E-2</v>
      </c>
      <c r="AJ414" s="11">
        <f t="shared" si="1007"/>
        <v>0</v>
      </c>
      <c r="AL414" s="11">
        <f t="shared" si="1008"/>
        <v>0</v>
      </c>
      <c r="AN414" s="11">
        <f t="shared" si="1009"/>
        <v>0</v>
      </c>
      <c r="AP414" s="11">
        <f t="shared" si="1010"/>
        <v>0</v>
      </c>
      <c r="AR414" s="11">
        <f t="shared" si="1011"/>
        <v>0</v>
      </c>
    </row>
    <row r="415" spans="3:44">
      <c r="D415" s="318" t="s">
        <v>237</v>
      </c>
      <c r="E415" s="282">
        <v>1999</v>
      </c>
      <c r="F415" s="284">
        <v>2</v>
      </c>
      <c r="G415" s="307">
        <v>0</v>
      </c>
      <c r="H415" s="286"/>
      <c r="I415" s="308" t="s">
        <v>86</v>
      </c>
      <c r="J415" s="284">
        <v>5</v>
      </c>
      <c r="K415" s="309">
        <f t="shared" si="1012"/>
        <v>2004</v>
      </c>
      <c r="N415" s="285">
        <v>657</v>
      </c>
      <c r="P415" s="286">
        <f t="shared" si="1013"/>
        <v>657</v>
      </c>
      <c r="Q415" s="286">
        <f t="shared" si="1014"/>
        <v>10.950000000000001</v>
      </c>
      <c r="R415" s="286">
        <f t="shared" si="1015"/>
        <v>0</v>
      </c>
      <c r="T415" s="286">
        <f t="shared" si="1016"/>
        <v>0</v>
      </c>
      <c r="U415" s="286">
        <v>1</v>
      </c>
      <c r="V415" s="286">
        <f t="shared" si="1017"/>
        <v>0</v>
      </c>
      <c r="W415" s="286"/>
      <c r="X415" s="286">
        <f t="shared" si="1018"/>
        <v>657</v>
      </c>
      <c r="Y415" s="286">
        <f t="shared" si="1019"/>
        <v>657</v>
      </c>
      <c r="Z415" s="286">
        <v>1</v>
      </c>
      <c r="AA415" s="286">
        <f t="shared" si="1020"/>
        <v>657</v>
      </c>
      <c r="AB415" s="286">
        <f t="shared" si="1021"/>
        <v>657</v>
      </c>
      <c r="AC415" s="286">
        <f t="shared" si="1022"/>
        <v>0</v>
      </c>
      <c r="AD415" s="286">
        <f t="shared" si="1023"/>
        <v>1999.0833333333333</v>
      </c>
      <c r="AE415" s="286">
        <f t="shared" si="292"/>
        <v>2018</v>
      </c>
      <c r="AF415" s="286">
        <f t="shared" si="1024"/>
        <v>2004.0833333333333</v>
      </c>
      <c r="AG415" s="286">
        <f t="shared" si="293"/>
        <v>2017</v>
      </c>
      <c r="AH415" s="286">
        <f t="shared" si="1025"/>
        <v>-8.3333333333333329E-2</v>
      </c>
      <c r="AJ415" s="11">
        <f t="shared" si="1007"/>
        <v>0</v>
      </c>
      <c r="AL415" s="11">
        <f t="shared" si="1008"/>
        <v>0</v>
      </c>
      <c r="AN415" s="11">
        <f t="shared" si="1009"/>
        <v>0</v>
      </c>
      <c r="AP415" s="11">
        <f t="shared" si="1010"/>
        <v>0</v>
      </c>
      <c r="AR415" s="11">
        <f t="shared" si="1011"/>
        <v>0</v>
      </c>
    </row>
    <row r="416" spans="3:44">
      <c r="D416" s="306" t="s">
        <v>22</v>
      </c>
      <c r="E416" s="282">
        <v>1999</v>
      </c>
      <c r="F416" s="284">
        <v>4</v>
      </c>
      <c r="G416" s="307">
        <v>0</v>
      </c>
      <c r="H416" s="286"/>
      <c r="I416" s="308" t="s">
        <v>86</v>
      </c>
      <c r="J416" s="284">
        <v>5</v>
      </c>
      <c r="K416" s="309">
        <f t="shared" si="1012"/>
        <v>2004</v>
      </c>
      <c r="N416" s="285">
        <v>1234.68</v>
      </c>
      <c r="P416" s="286">
        <f t="shared" si="1013"/>
        <v>1234.68</v>
      </c>
      <c r="Q416" s="286">
        <f t="shared" si="1014"/>
        <v>20.577999999999999</v>
      </c>
      <c r="R416" s="286">
        <f t="shared" si="1015"/>
        <v>0</v>
      </c>
      <c r="T416" s="286">
        <f t="shared" si="1016"/>
        <v>0</v>
      </c>
      <c r="U416" s="286">
        <v>1</v>
      </c>
      <c r="V416" s="286">
        <f t="shared" si="1017"/>
        <v>0</v>
      </c>
      <c r="W416" s="286"/>
      <c r="X416" s="286">
        <f t="shared" si="1018"/>
        <v>1234.68</v>
      </c>
      <c r="Y416" s="286">
        <f t="shared" si="1019"/>
        <v>1234.68</v>
      </c>
      <c r="Z416" s="286">
        <v>1</v>
      </c>
      <c r="AA416" s="286">
        <f t="shared" si="1020"/>
        <v>1234.68</v>
      </c>
      <c r="AB416" s="286">
        <f t="shared" si="1021"/>
        <v>1234.68</v>
      </c>
      <c r="AC416" s="286">
        <f t="shared" si="1022"/>
        <v>0</v>
      </c>
      <c r="AD416" s="286">
        <f t="shared" si="1023"/>
        <v>1999.25</v>
      </c>
      <c r="AE416" s="286">
        <f t="shared" si="292"/>
        <v>2018</v>
      </c>
      <c r="AF416" s="286">
        <f t="shared" si="1024"/>
        <v>2004.25</v>
      </c>
      <c r="AG416" s="286">
        <f t="shared" si="293"/>
        <v>2017</v>
      </c>
      <c r="AH416" s="286">
        <f t="shared" si="1025"/>
        <v>-8.3333333333333329E-2</v>
      </c>
      <c r="AJ416" s="11">
        <f t="shared" si="1007"/>
        <v>0</v>
      </c>
      <c r="AL416" s="11">
        <f t="shared" si="1008"/>
        <v>0</v>
      </c>
      <c r="AN416" s="11">
        <f t="shared" si="1009"/>
        <v>0</v>
      </c>
      <c r="AP416" s="11">
        <f t="shared" si="1010"/>
        <v>0</v>
      </c>
      <c r="AR416" s="11">
        <f t="shared" si="1011"/>
        <v>0</v>
      </c>
    </row>
    <row r="417" spans="1:44">
      <c r="D417" s="306" t="s">
        <v>238</v>
      </c>
      <c r="E417" s="282">
        <v>1999</v>
      </c>
      <c r="F417" s="284">
        <v>1</v>
      </c>
      <c r="G417" s="307">
        <v>0</v>
      </c>
      <c r="H417" s="286"/>
      <c r="I417" s="308" t="s">
        <v>86</v>
      </c>
      <c r="J417" s="284">
        <v>5</v>
      </c>
      <c r="K417" s="309">
        <f t="shared" si="1012"/>
        <v>2004</v>
      </c>
      <c r="N417" s="285">
        <v>1764</v>
      </c>
      <c r="P417" s="286">
        <f t="shared" si="1013"/>
        <v>1764</v>
      </c>
      <c r="Q417" s="286">
        <f t="shared" si="1014"/>
        <v>29.400000000000002</v>
      </c>
      <c r="R417" s="286">
        <f t="shared" si="1015"/>
        <v>0</v>
      </c>
      <c r="T417" s="286">
        <f t="shared" si="1016"/>
        <v>0</v>
      </c>
      <c r="U417" s="286">
        <v>1</v>
      </c>
      <c r="V417" s="286">
        <f t="shared" si="1017"/>
        <v>0</v>
      </c>
      <c r="W417" s="286"/>
      <c r="X417" s="286">
        <f t="shared" si="1018"/>
        <v>1764</v>
      </c>
      <c r="Y417" s="286">
        <f t="shared" si="1019"/>
        <v>1764</v>
      </c>
      <c r="Z417" s="286">
        <v>1</v>
      </c>
      <c r="AA417" s="286">
        <f t="shared" si="1020"/>
        <v>1764</v>
      </c>
      <c r="AB417" s="286">
        <f t="shared" si="1021"/>
        <v>1764</v>
      </c>
      <c r="AC417" s="286">
        <f t="shared" si="1022"/>
        <v>0</v>
      </c>
      <c r="AD417" s="286">
        <f t="shared" si="1023"/>
        <v>1999</v>
      </c>
      <c r="AE417" s="286">
        <f t="shared" si="292"/>
        <v>2018</v>
      </c>
      <c r="AF417" s="286">
        <f t="shared" si="1024"/>
        <v>2004</v>
      </c>
      <c r="AG417" s="286">
        <f t="shared" si="293"/>
        <v>2017</v>
      </c>
      <c r="AH417" s="286">
        <f t="shared" si="1025"/>
        <v>-8.3333333333333329E-2</v>
      </c>
      <c r="AJ417" s="11">
        <f t="shared" si="1007"/>
        <v>0</v>
      </c>
      <c r="AL417" s="11">
        <f t="shared" si="1008"/>
        <v>0</v>
      </c>
      <c r="AN417" s="11">
        <f t="shared" si="1009"/>
        <v>0</v>
      </c>
      <c r="AP417" s="11">
        <f t="shared" si="1010"/>
        <v>0</v>
      </c>
      <c r="AR417" s="11">
        <f t="shared" si="1011"/>
        <v>0</v>
      </c>
    </row>
    <row r="418" spans="1:44">
      <c r="D418" s="306" t="s">
        <v>231</v>
      </c>
      <c r="E418" s="282">
        <v>1999</v>
      </c>
      <c r="F418" s="284">
        <v>6</v>
      </c>
      <c r="G418" s="307">
        <v>0</v>
      </c>
      <c r="H418" s="286"/>
      <c r="I418" s="308" t="s">
        <v>86</v>
      </c>
      <c r="J418" s="284">
        <v>5</v>
      </c>
      <c r="K418" s="309">
        <f t="shared" si="1012"/>
        <v>2004</v>
      </c>
      <c r="N418" s="285">
        <v>3013.19</v>
      </c>
      <c r="P418" s="286">
        <f t="shared" si="1013"/>
        <v>3013.19</v>
      </c>
      <c r="Q418" s="286">
        <f t="shared" si="1014"/>
        <v>50.219833333333334</v>
      </c>
      <c r="R418" s="286">
        <f t="shared" si="1015"/>
        <v>0</v>
      </c>
      <c r="T418" s="286">
        <f t="shared" si="1016"/>
        <v>0</v>
      </c>
      <c r="U418" s="286">
        <v>1</v>
      </c>
      <c r="V418" s="286">
        <f t="shared" si="1017"/>
        <v>0</v>
      </c>
      <c r="W418" s="286"/>
      <c r="X418" s="286">
        <f t="shared" si="1018"/>
        <v>3013.19</v>
      </c>
      <c r="Y418" s="286">
        <f t="shared" si="1019"/>
        <v>3013.19</v>
      </c>
      <c r="Z418" s="286">
        <v>1</v>
      </c>
      <c r="AA418" s="286">
        <f t="shared" si="1020"/>
        <v>3013.19</v>
      </c>
      <c r="AB418" s="286">
        <f t="shared" si="1021"/>
        <v>3013.19</v>
      </c>
      <c r="AC418" s="286">
        <f t="shared" si="1022"/>
        <v>0</v>
      </c>
      <c r="AD418" s="286">
        <f t="shared" si="1023"/>
        <v>1999.4166666666667</v>
      </c>
      <c r="AE418" s="286">
        <f t="shared" si="292"/>
        <v>2018</v>
      </c>
      <c r="AF418" s="286">
        <f t="shared" si="1024"/>
        <v>2004.4166666666667</v>
      </c>
      <c r="AG418" s="286">
        <f t="shared" si="293"/>
        <v>2017</v>
      </c>
      <c r="AH418" s="286">
        <f t="shared" si="1025"/>
        <v>-8.3333333333333329E-2</v>
      </c>
      <c r="AJ418" s="11">
        <f t="shared" si="1007"/>
        <v>0</v>
      </c>
      <c r="AL418" s="11">
        <f t="shared" si="1008"/>
        <v>0</v>
      </c>
      <c r="AN418" s="11">
        <f t="shared" si="1009"/>
        <v>0</v>
      </c>
      <c r="AP418" s="11">
        <f t="shared" si="1010"/>
        <v>0</v>
      </c>
      <c r="AR418" s="11">
        <f t="shared" si="1011"/>
        <v>0</v>
      </c>
    </row>
    <row r="419" spans="1:44">
      <c r="D419" s="306" t="s">
        <v>233</v>
      </c>
      <c r="E419" s="282">
        <v>2005</v>
      </c>
      <c r="F419" s="284">
        <v>5</v>
      </c>
      <c r="G419" s="307">
        <v>0.2</v>
      </c>
      <c r="H419" s="286"/>
      <c r="I419" s="308" t="s">
        <v>86</v>
      </c>
      <c r="J419" s="284">
        <v>7</v>
      </c>
      <c r="K419" s="309">
        <f t="shared" si="1012"/>
        <v>2012</v>
      </c>
      <c r="N419" s="285">
        <f>42867.2</f>
        <v>42867.199999999997</v>
      </c>
      <c r="P419" s="286">
        <f t="shared" si="1013"/>
        <v>34293.759999999995</v>
      </c>
      <c r="Q419" s="286">
        <f t="shared" si="1014"/>
        <v>408.25904761904758</v>
      </c>
      <c r="R419" s="286">
        <f t="shared" si="1015"/>
        <v>0</v>
      </c>
      <c r="T419" s="286">
        <f t="shared" si="1016"/>
        <v>0</v>
      </c>
      <c r="U419" s="286">
        <v>1</v>
      </c>
      <c r="V419" s="286">
        <f t="shared" si="1017"/>
        <v>0</v>
      </c>
      <c r="W419" s="286"/>
      <c r="X419" s="286">
        <f t="shared" si="1018"/>
        <v>34293.759999999995</v>
      </c>
      <c r="Y419" s="286">
        <f t="shared" si="1019"/>
        <v>34293.759999999995</v>
      </c>
      <c r="Z419" s="286">
        <v>1</v>
      </c>
      <c r="AA419" s="286">
        <f t="shared" si="1020"/>
        <v>34293.759999999995</v>
      </c>
      <c r="AB419" s="286">
        <f t="shared" si="1021"/>
        <v>34293.759999999995</v>
      </c>
      <c r="AC419" s="286">
        <f t="shared" si="1022"/>
        <v>8573.4400000000023</v>
      </c>
      <c r="AD419" s="286">
        <f t="shared" si="1023"/>
        <v>2005.3333333333333</v>
      </c>
      <c r="AE419" s="286">
        <f t="shared" si="292"/>
        <v>2018</v>
      </c>
      <c r="AF419" s="286">
        <f t="shared" si="1024"/>
        <v>2012.3333333333333</v>
      </c>
      <c r="AG419" s="286">
        <f t="shared" si="293"/>
        <v>2017</v>
      </c>
      <c r="AH419" s="286">
        <f t="shared" si="1025"/>
        <v>-8.3333333333333329E-2</v>
      </c>
      <c r="AJ419" s="11">
        <f t="shared" si="1007"/>
        <v>2857.813333333334</v>
      </c>
      <c r="AL419" s="11">
        <f t="shared" si="1008"/>
        <v>2857.813333333334</v>
      </c>
      <c r="AN419" s="11">
        <f t="shared" si="1009"/>
        <v>-8573.4400000000023</v>
      </c>
      <c r="AP419" s="11">
        <f t="shared" si="1010"/>
        <v>0</v>
      </c>
      <c r="AR419" s="11">
        <f t="shared" si="1011"/>
        <v>0</v>
      </c>
    </row>
    <row r="420" spans="1:44">
      <c r="D420" s="306" t="s">
        <v>239</v>
      </c>
      <c r="E420" s="282">
        <v>2007</v>
      </c>
      <c r="F420" s="284">
        <v>5</v>
      </c>
      <c r="G420" s="307">
        <v>0</v>
      </c>
      <c r="H420" s="286"/>
      <c r="I420" s="308" t="s">
        <v>86</v>
      </c>
      <c r="J420" s="284">
        <v>5</v>
      </c>
      <c r="K420" s="309">
        <f t="shared" si="1012"/>
        <v>2012</v>
      </c>
      <c r="N420" s="285">
        <v>1618.75</v>
      </c>
      <c r="P420" s="286">
        <f t="shared" si="1013"/>
        <v>1618.75</v>
      </c>
      <c r="Q420" s="286">
        <f t="shared" si="1014"/>
        <v>26.979166666666668</v>
      </c>
      <c r="R420" s="286">
        <f t="shared" si="1015"/>
        <v>0</v>
      </c>
      <c r="T420" s="286">
        <f t="shared" si="1016"/>
        <v>0</v>
      </c>
      <c r="U420" s="286">
        <v>1</v>
      </c>
      <c r="V420" s="286">
        <f t="shared" si="1017"/>
        <v>0</v>
      </c>
      <c r="W420" s="286"/>
      <c r="X420" s="286">
        <f t="shared" si="1018"/>
        <v>1618.75</v>
      </c>
      <c r="Y420" s="286">
        <f t="shared" si="1019"/>
        <v>1618.75</v>
      </c>
      <c r="Z420" s="286">
        <v>1</v>
      </c>
      <c r="AA420" s="286">
        <f t="shared" si="1020"/>
        <v>1618.75</v>
      </c>
      <c r="AB420" s="286">
        <f t="shared" si="1021"/>
        <v>1618.75</v>
      </c>
      <c r="AC420" s="286">
        <f t="shared" si="1022"/>
        <v>0</v>
      </c>
      <c r="AD420" s="286">
        <f t="shared" si="1023"/>
        <v>2007.3333333333333</v>
      </c>
      <c r="AE420" s="286">
        <f t="shared" si="292"/>
        <v>2018</v>
      </c>
      <c r="AF420" s="286">
        <f t="shared" si="1024"/>
        <v>2012.3333333333333</v>
      </c>
      <c r="AG420" s="286">
        <f t="shared" si="293"/>
        <v>2017</v>
      </c>
      <c r="AH420" s="286">
        <f t="shared" si="1025"/>
        <v>-8.3333333333333329E-2</v>
      </c>
      <c r="AJ420" s="11">
        <f t="shared" si="1007"/>
        <v>0</v>
      </c>
      <c r="AL420" s="11">
        <f t="shared" si="1008"/>
        <v>0</v>
      </c>
      <c r="AN420" s="11">
        <f t="shared" si="1009"/>
        <v>0</v>
      </c>
      <c r="AP420" s="11">
        <f t="shared" si="1010"/>
        <v>0</v>
      </c>
      <c r="AR420" s="11">
        <f t="shared" si="1011"/>
        <v>0</v>
      </c>
    </row>
    <row r="421" spans="1:44">
      <c r="D421" s="306" t="s">
        <v>240</v>
      </c>
      <c r="E421" s="282">
        <v>2007</v>
      </c>
      <c r="F421" s="284">
        <v>11</v>
      </c>
      <c r="G421" s="307">
        <v>0.2</v>
      </c>
      <c r="H421" s="286"/>
      <c r="I421" s="308" t="s">
        <v>86</v>
      </c>
      <c r="J421" s="284">
        <v>7</v>
      </c>
      <c r="K421" s="309">
        <f t="shared" si="1012"/>
        <v>2014</v>
      </c>
      <c r="N421" s="285">
        <v>1460.78</v>
      </c>
      <c r="P421" s="286">
        <f t="shared" si="1013"/>
        <v>1168.624</v>
      </c>
      <c r="Q421" s="286">
        <f t="shared" si="1014"/>
        <v>13.912190476190476</v>
      </c>
      <c r="R421" s="286">
        <f t="shared" si="1015"/>
        <v>0</v>
      </c>
      <c r="T421" s="286">
        <f t="shared" si="1016"/>
        <v>0</v>
      </c>
      <c r="U421" s="286">
        <v>1</v>
      </c>
      <c r="V421" s="286">
        <f t="shared" si="1017"/>
        <v>0</v>
      </c>
      <c r="W421" s="286"/>
      <c r="X421" s="286">
        <f t="shared" si="1018"/>
        <v>1168.624</v>
      </c>
      <c r="Y421" s="286">
        <f t="shared" si="1019"/>
        <v>1168.624</v>
      </c>
      <c r="Z421" s="286">
        <v>1</v>
      </c>
      <c r="AA421" s="286">
        <f t="shared" si="1020"/>
        <v>1168.624</v>
      </c>
      <c r="AB421" s="286">
        <f t="shared" si="1021"/>
        <v>1168.624</v>
      </c>
      <c r="AC421" s="286">
        <f t="shared" si="1022"/>
        <v>292.15599999999995</v>
      </c>
      <c r="AD421" s="286">
        <f t="shared" si="1023"/>
        <v>2007.8333333333333</v>
      </c>
      <c r="AE421" s="286">
        <f t="shared" si="292"/>
        <v>2018</v>
      </c>
      <c r="AF421" s="286">
        <f t="shared" si="1024"/>
        <v>2014.8333333333333</v>
      </c>
      <c r="AG421" s="286">
        <f t="shared" si="293"/>
        <v>2017</v>
      </c>
      <c r="AH421" s="286">
        <f t="shared" si="1025"/>
        <v>-8.3333333333333329E-2</v>
      </c>
      <c r="AJ421" s="11">
        <f t="shared" si="1007"/>
        <v>97.385333333333321</v>
      </c>
      <c r="AL421" s="11">
        <f t="shared" si="1008"/>
        <v>97.385333333333321</v>
      </c>
      <c r="AN421" s="11">
        <f t="shared" si="1009"/>
        <v>-292.15599999999995</v>
      </c>
      <c r="AP421" s="11">
        <f t="shared" si="1010"/>
        <v>0</v>
      </c>
      <c r="AR421" s="11">
        <f t="shared" si="1011"/>
        <v>0</v>
      </c>
    </row>
    <row r="422" spans="1:44">
      <c r="D422" s="306" t="s">
        <v>241</v>
      </c>
      <c r="E422" s="282">
        <v>2007</v>
      </c>
      <c r="F422" s="284">
        <v>12</v>
      </c>
      <c r="G422" s="307">
        <v>0</v>
      </c>
      <c r="H422" s="286"/>
      <c r="I422" s="308" t="s">
        <v>86</v>
      </c>
      <c r="J422" s="284">
        <v>5</v>
      </c>
      <c r="K422" s="309">
        <f t="shared" si="1012"/>
        <v>2012</v>
      </c>
      <c r="N422" s="285">
        <v>2776.1</v>
      </c>
      <c r="P422" s="286">
        <f t="shared" si="1013"/>
        <v>2776.1</v>
      </c>
      <c r="Q422" s="286">
        <f t="shared" si="1014"/>
        <v>46.268333333333338</v>
      </c>
      <c r="R422" s="286">
        <f t="shared" si="1015"/>
        <v>0</v>
      </c>
      <c r="T422" s="286">
        <f t="shared" si="1016"/>
        <v>0</v>
      </c>
      <c r="U422" s="286">
        <v>1</v>
      </c>
      <c r="V422" s="286">
        <f t="shared" si="1017"/>
        <v>0</v>
      </c>
      <c r="W422" s="286"/>
      <c r="X422" s="286">
        <f t="shared" si="1018"/>
        <v>2776.1</v>
      </c>
      <c r="Y422" s="286">
        <f t="shared" si="1019"/>
        <v>2776.1</v>
      </c>
      <c r="Z422" s="286">
        <v>1</v>
      </c>
      <c r="AA422" s="286">
        <f t="shared" si="1020"/>
        <v>2776.1</v>
      </c>
      <c r="AB422" s="286">
        <f t="shared" si="1021"/>
        <v>2776.1</v>
      </c>
      <c r="AC422" s="286">
        <f t="shared" si="1022"/>
        <v>0</v>
      </c>
      <c r="AD422" s="286">
        <f t="shared" si="1023"/>
        <v>2007.9166666666667</v>
      </c>
      <c r="AE422" s="286">
        <f t="shared" si="292"/>
        <v>2018</v>
      </c>
      <c r="AF422" s="286">
        <f t="shared" si="1024"/>
        <v>2012.9166666666667</v>
      </c>
      <c r="AG422" s="286">
        <f t="shared" si="293"/>
        <v>2017</v>
      </c>
      <c r="AH422" s="286">
        <f t="shared" si="1025"/>
        <v>-8.3333333333333329E-2</v>
      </c>
      <c r="AJ422" s="11">
        <f t="shared" si="1007"/>
        <v>0</v>
      </c>
      <c r="AL422" s="11">
        <f t="shared" si="1008"/>
        <v>0</v>
      </c>
      <c r="AN422" s="11">
        <f t="shared" si="1009"/>
        <v>0</v>
      </c>
      <c r="AP422" s="11">
        <f t="shared" si="1010"/>
        <v>0</v>
      </c>
      <c r="AR422" s="11">
        <f t="shared" si="1011"/>
        <v>0</v>
      </c>
    </row>
    <row r="423" spans="1:44">
      <c r="B423" s="282" t="s">
        <v>242</v>
      </c>
      <c r="C423" s="282" t="s">
        <v>243</v>
      </c>
      <c r="D423" s="306" t="s">
        <v>244</v>
      </c>
      <c r="E423" s="282">
        <v>2008</v>
      </c>
      <c r="F423" s="284">
        <v>7</v>
      </c>
      <c r="G423" s="307">
        <v>0.2</v>
      </c>
      <c r="H423" s="286"/>
      <c r="I423" s="308" t="s">
        <v>86</v>
      </c>
      <c r="J423" s="284">
        <v>7</v>
      </c>
      <c r="K423" s="309">
        <f t="shared" si="1012"/>
        <v>2015</v>
      </c>
      <c r="N423" s="285">
        <f>35260.28+10731.6+1040.64</f>
        <v>47032.52</v>
      </c>
      <c r="P423" s="286">
        <f t="shared" si="1013"/>
        <v>37626.015999999996</v>
      </c>
      <c r="Q423" s="286">
        <f t="shared" si="1014"/>
        <v>447.92876190476187</v>
      </c>
      <c r="R423" s="286">
        <f t="shared" si="1015"/>
        <v>0</v>
      </c>
      <c r="T423" s="286">
        <f t="shared" si="1016"/>
        <v>0</v>
      </c>
      <c r="U423" s="286">
        <v>1</v>
      </c>
      <c r="V423" s="286">
        <f t="shared" si="1017"/>
        <v>0</v>
      </c>
      <c r="W423" s="286"/>
      <c r="X423" s="286">
        <f t="shared" si="1018"/>
        <v>37626.015999999996</v>
      </c>
      <c r="Y423" s="286">
        <f t="shared" si="1019"/>
        <v>37626.015999999996</v>
      </c>
      <c r="Z423" s="286">
        <v>1</v>
      </c>
      <c r="AA423" s="286">
        <f t="shared" si="1020"/>
        <v>37626.015999999996</v>
      </c>
      <c r="AB423" s="286">
        <f t="shared" si="1021"/>
        <v>37626.015999999996</v>
      </c>
      <c r="AC423" s="286">
        <f t="shared" si="1022"/>
        <v>9406.5040000000008</v>
      </c>
      <c r="AD423" s="286">
        <f t="shared" si="1023"/>
        <v>2008.5</v>
      </c>
      <c r="AE423" s="286">
        <f t="shared" si="292"/>
        <v>2018</v>
      </c>
      <c r="AF423" s="286">
        <f t="shared" si="1024"/>
        <v>2015.5</v>
      </c>
      <c r="AG423" s="286">
        <f t="shared" si="293"/>
        <v>2017</v>
      </c>
      <c r="AH423" s="286">
        <f t="shared" si="1025"/>
        <v>-8.3333333333333329E-2</v>
      </c>
      <c r="AJ423" s="11">
        <f t="shared" si="1007"/>
        <v>3135.5013333333336</v>
      </c>
      <c r="AL423" s="11">
        <f t="shared" si="1008"/>
        <v>3135.5013333333336</v>
      </c>
      <c r="AN423" s="11">
        <f t="shared" si="1009"/>
        <v>-9406.5040000000008</v>
      </c>
      <c r="AP423" s="11">
        <f t="shared" si="1010"/>
        <v>0</v>
      </c>
      <c r="AR423" s="11">
        <f t="shared" si="1011"/>
        <v>0</v>
      </c>
    </row>
    <row r="424" spans="1:44">
      <c r="A424" s="282">
        <v>107208</v>
      </c>
      <c r="B424" s="284" t="s">
        <v>301</v>
      </c>
      <c r="C424" s="282">
        <v>8992</v>
      </c>
      <c r="D424" s="306" t="s">
        <v>300</v>
      </c>
      <c r="E424" s="282">
        <v>2008</v>
      </c>
      <c r="F424" s="284">
        <v>11</v>
      </c>
      <c r="G424" s="307">
        <v>0.33</v>
      </c>
      <c r="H424" s="286"/>
      <c r="I424" s="308" t="s">
        <v>86</v>
      </c>
      <c r="J424" s="284">
        <v>5</v>
      </c>
      <c r="K424" s="309">
        <f t="shared" si="1012"/>
        <v>2013</v>
      </c>
      <c r="N424" s="285">
        <v>1000</v>
      </c>
      <c r="O424" s="310"/>
      <c r="P424" s="286">
        <f t="shared" ref="P424" si="1026">N424-N424*G424</f>
        <v>670</v>
      </c>
      <c r="Q424" s="286">
        <f t="shared" ref="Q424" si="1027">P424/J424/12</f>
        <v>11.166666666666666</v>
      </c>
      <c r="R424" s="286">
        <f t="shared" ref="R424" si="1028">IF(O424&gt;0,0,IF(OR(AD424&gt;AE424,AF424&lt;AG424),0,IF(AND(AF424&gt;=AG424,AF424&lt;=AE424),Q424*((AF424-AG424)*12),IF(AND(AG424&lt;=AD424,AE424&gt;=AD424),((AE424-AD424)*12)*Q424,IF(AF424&gt;AE424,12*Q424,0)))))</f>
        <v>0</v>
      </c>
      <c r="T424" s="286">
        <f t="shared" ref="T424" si="1029">IF(S424&gt;0,S424,R424)</f>
        <v>0</v>
      </c>
      <c r="U424" s="286">
        <v>1</v>
      </c>
      <c r="V424" s="286">
        <f t="shared" ref="V424" si="1030">U424*SUM(R424:S424)</f>
        <v>0</v>
      </c>
      <c r="W424" s="286"/>
      <c r="X424" s="286">
        <f t="shared" ref="X424" si="1031">IF(AD424&gt;AE424,0,IF(AF424&lt;AG424,P424,IF(AND(AF424&gt;=AG424,AF424&lt;=AE424),(P424-T424),IF(AND(AG424&lt;=AD424,AE424&gt;=AD424),0,IF(AF424&gt;AE424,((AG424-AD424)*12)*Q424,0)))))</f>
        <v>670</v>
      </c>
      <c r="Y424" s="286">
        <f t="shared" ref="Y424" si="1032">X424*U424</f>
        <v>670</v>
      </c>
      <c r="Z424" s="286">
        <v>1</v>
      </c>
      <c r="AA424" s="286">
        <f t="shared" ref="AA424" si="1033">Y424*Z424</f>
        <v>670</v>
      </c>
      <c r="AB424" s="286">
        <f t="shared" ref="AB424" si="1034">IF(O424&gt;0,0,AA424+V424*Z424)*Z424</f>
        <v>670</v>
      </c>
      <c r="AC424" s="286">
        <f t="shared" ref="AC424" si="1035">IF(O424&gt;0,(N424-AA424)/2,IF(AD424&gt;=AG424,(((N424*U424)*Z424)-AB424)/2,((((N424*U424)*Z424)-AA424)+(((N424*U424)*Z424)-AB424))/2))</f>
        <v>330</v>
      </c>
      <c r="AD424" s="286">
        <f t="shared" si="1023"/>
        <v>2008.8333333333333</v>
      </c>
      <c r="AE424" s="286">
        <f t="shared" si="292"/>
        <v>2018</v>
      </c>
      <c r="AF424" s="286">
        <f t="shared" si="1024"/>
        <v>2013.8333333333333</v>
      </c>
      <c r="AG424" s="286">
        <f t="shared" si="293"/>
        <v>2017</v>
      </c>
      <c r="AH424" s="286">
        <f t="shared" si="1025"/>
        <v>-8.3333333333333329E-2</v>
      </c>
      <c r="AJ424" s="11">
        <f t="shared" si="1007"/>
        <v>110</v>
      </c>
      <c r="AL424" s="11">
        <f t="shared" si="1008"/>
        <v>110</v>
      </c>
      <c r="AN424" s="11">
        <f t="shared" si="1009"/>
        <v>-330</v>
      </c>
      <c r="AP424" s="11">
        <f t="shared" si="1010"/>
        <v>0</v>
      </c>
      <c r="AR424" s="11">
        <f t="shared" si="1011"/>
        <v>0</v>
      </c>
    </row>
    <row r="425" spans="1:44">
      <c r="B425" s="282" t="s">
        <v>2</v>
      </c>
      <c r="C425" s="282" t="s">
        <v>2</v>
      </c>
      <c r="D425" s="306" t="s">
        <v>245</v>
      </c>
      <c r="E425" s="282">
        <v>2009</v>
      </c>
      <c r="F425" s="284">
        <v>7</v>
      </c>
      <c r="G425" s="307">
        <v>0.2</v>
      </c>
      <c r="H425" s="286"/>
      <c r="I425" s="308" t="s">
        <v>86</v>
      </c>
      <c r="J425" s="284">
        <v>7</v>
      </c>
      <c r="K425" s="309">
        <f t="shared" si="1012"/>
        <v>2016</v>
      </c>
      <c r="N425" s="285">
        <v>6992.5</v>
      </c>
      <c r="P425" s="286">
        <f t="shared" si="1013"/>
        <v>5594</v>
      </c>
      <c r="Q425" s="286">
        <f t="shared" si="1014"/>
        <v>66.595238095238088</v>
      </c>
      <c r="R425" s="286">
        <f t="shared" si="1015"/>
        <v>0</v>
      </c>
      <c r="T425" s="286">
        <f t="shared" si="1016"/>
        <v>0</v>
      </c>
      <c r="U425" s="286">
        <v>1</v>
      </c>
      <c r="V425" s="286">
        <f t="shared" si="1017"/>
        <v>0</v>
      </c>
      <c r="W425" s="286"/>
      <c r="X425" s="286">
        <f t="shared" si="1018"/>
        <v>5594</v>
      </c>
      <c r="Y425" s="286">
        <f t="shared" si="1019"/>
        <v>5594</v>
      </c>
      <c r="Z425" s="286">
        <v>1</v>
      </c>
      <c r="AA425" s="286">
        <f t="shared" si="1020"/>
        <v>5594</v>
      </c>
      <c r="AB425" s="286">
        <f t="shared" si="1021"/>
        <v>5594</v>
      </c>
      <c r="AC425" s="286">
        <f t="shared" si="1022"/>
        <v>1398.5</v>
      </c>
      <c r="AD425" s="286">
        <f t="shared" si="1023"/>
        <v>2009.5</v>
      </c>
      <c r="AE425" s="286">
        <f t="shared" si="292"/>
        <v>2018</v>
      </c>
      <c r="AF425" s="286">
        <f t="shared" si="1024"/>
        <v>2016.5</v>
      </c>
      <c r="AG425" s="286">
        <f t="shared" si="293"/>
        <v>2017</v>
      </c>
      <c r="AH425" s="286">
        <f t="shared" si="1025"/>
        <v>-8.3333333333333329E-2</v>
      </c>
      <c r="AJ425" s="11">
        <f t="shared" si="1007"/>
        <v>466.16666666666669</v>
      </c>
      <c r="AL425" s="11">
        <f t="shared" si="1008"/>
        <v>466.16666666666669</v>
      </c>
      <c r="AN425" s="11">
        <f t="shared" si="1009"/>
        <v>-1398.5</v>
      </c>
      <c r="AP425" s="11">
        <f t="shared" si="1010"/>
        <v>0</v>
      </c>
      <c r="AR425" s="11">
        <f t="shared" si="1011"/>
        <v>0</v>
      </c>
    </row>
    <row r="426" spans="1:44">
      <c r="B426" s="282" t="s">
        <v>2</v>
      </c>
      <c r="C426" s="282" t="s">
        <v>2</v>
      </c>
      <c r="D426" s="306" t="s">
        <v>246</v>
      </c>
      <c r="E426" s="282">
        <v>2009</v>
      </c>
      <c r="F426" s="284">
        <v>12</v>
      </c>
      <c r="G426" s="307">
        <v>0</v>
      </c>
      <c r="H426" s="286"/>
      <c r="I426" s="308" t="s">
        <v>86</v>
      </c>
      <c r="J426" s="284">
        <v>5</v>
      </c>
      <c r="K426" s="309">
        <f t="shared" si="1012"/>
        <v>2014</v>
      </c>
      <c r="N426" s="285">
        <v>1565.27</v>
      </c>
      <c r="P426" s="286">
        <f t="shared" si="1013"/>
        <v>1565.27</v>
      </c>
      <c r="Q426" s="286">
        <f t="shared" si="1014"/>
        <v>26.087833333333332</v>
      </c>
      <c r="R426" s="286">
        <f t="shared" si="1015"/>
        <v>0</v>
      </c>
      <c r="T426" s="286">
        <f t="shared" si="1016"/>
        <v>0</v>
      </c>
      <c r="U426" s="286">
        <v>1</v>
      </c>
      <c r="V426" s="286">
        <f t="shared" si="1017"/>
        <v>0</v>
      </c>
      <c r="W426" s="286"/>
      <c r="X426" s="286">
        <f t="shared" si="1018"/>
        <v>1565.27</v>
      </c>
      <c r="Y426" s="286">
        <f t="shared" si="1019"/>
        <v>1565.27</v>
      </c>
      <c r="Z426" s="286">
        <v>1</v>
      </c>
      <c r="AA426" s="286">
        <f t="shared" si="1020"/>
        <v>1565.27</v>
      </c>
      <c r="AB426" s="286">
        <f t="shared" si="1021"/>
        <v>1565.27</v>
      </c>
      <c r="AC426" s="286">
        <f t="shared" si="1022"/>
        <v>0</v>
      </c>
      <c r="AD426" s="286">
        <f t="shared" si="1023"/>
        <v>2009.9166666666667</v>
      </c>
      <c r="AE426" s="286">
        <f t="shared" si="292"/>
        <v>2018</v>
      </c>
      <c r="AF426" s="286">
        <f t="shared" si="1024"/>
        <v>2014.9166666666667</v>
      </c>
      <c r="AG426" s="286">
        <f t="shared" si="293"/>
        <v>2017</v>
      </c>
      <c r="AH426" s="286">
        <f t="shared" si="1025"/>
        <v>-8.3333333333333329E-2</v>
      </c>
      <c r="AJ426" s="11">
        <f t="shared" si="1007"/>
        <v>0</v>
      </c>
      <c r="AL426" s="11">
        <f t="shared" si="1008"/>
        <v>0</v>
      </c>
      <c r="AN426" s="11">
        <f t="shared" si="1009"/>
        <v>0</v>
      </c>
      <c r="AP426" s="11">
        <f t="shared" si="1010"/>
        <v>0</v>
      </c>
      <c r="AR426" s="11">
        <f t="shared" si="1011"/>
        <v>0</v>
      </c>
    </row>
    <row r="427" spans="1:44">
      <c r="B427" s="282" t="s">
        <v>2</v>
      </c>
      <c r="C427" s="282" t="s">
        <v>2</v>
      </c>
      <c r="D427" s="306" t="s">
        <v>247</v>
      </c>
      <c r="E427" s="282">
        <v>2010</v>
      </c>
      <c r="F427" s="284">
        <v>12</v>
      </c>
      <c r="G427" s="307">
        <v>0</v>
      </c>
      <c r="H427" s="286"/>
      <c r="I427" s="308" t="s">
        <v>86</v>
      </c>
      <c r="J427" s="284">
        <v>7</v>
      </c>
      <c r="K427" s="309">
        <f t="shared" si="1012"/>
        <v>2017</v>
      </c>
      <c r="N427" s="285">
        <v>3253.09</v>
      </c>
      <c r="P427" s="286">
        <f t="shared" si="1013"/>
        <v>3253.09</v>
      </c>
      <c r="Q427" s="286">
        <f t="shared" si="1014"/>
        <v>38.72726190476191</v>
      </c>
      <c r="R427" s="286">
        <f t="shared" si="1015"/>
        <v>425.99988095241622</v>
      </c>
      <c r="T427" s="286">
        <f t="shared" si="1016"/>
        <v>425.99988095241622</v>
      </c>
      <c r="U427" s="286">
        <v>1</v>
      </c>
      <c r="V427" s="286">
        <f t="shared" si="1017"/>
        <v>425.99988095241622</v>
      </c>
      <c r="W427" s="286"/>
      <c r="X427" s="286">
        <f t="shared" si="1018"/>
        <v>2827.0901190475838</v>
      </c>
      <c r="Y427" s="286">
        <f t="shared" si="1019"/>
        <v>2827.0901190475838</v>
      </c>
      <c r="Z427" s="286">
        <v>1</v>
      </c>
      <c r="AA427" s="286">
        <f t="shared" si="1020"/>
        <v>2827.0901190475838</v>
      </c>
      <c r="AB427" s="286">
        <f t="shared" si="1021"/>
        <v>3253.09</v>
      </c>
      <c r="AC427" s="286">
        <f t="shared" si="1022"/>
        <v>212.99994047620817</v>
      </c>
      <c r="AD427" s="286">
        <f t="shared" si="1023"/>
        <v>2010.9166666666667</v>
      </c>
      <c r="AE427" s="286">
        <f t="shared" si="292"/>
        <v>2018</v>
      </c>
      <c r="AF427" s="286">
        <f t="shared" si="1024"/>
        <v>2017.9166666666667</v>
      </c>
      <c r="AG427" s="286">
        <f t="shared" si="293"/>
        <v>2017</v>
      </c>
      <c r="AH427" s="286">
        <f t="shared" si="1025"/>
        <v>-8.3333333333333329E-2</v>
      </c>
      <c r="AJ427" s="11">
        <f t="shared" si="1007"/>
        <v>0</v>
      </c>
      <c r="AL427" s="11">
        <f t="shared" si="1008"/>
        <v>425.99988095241622</v>
      </c>
      <c r="AN427" s="11">
        <f t="shared" si="1009"/>
        <v>0</v>
      </c>
      <c r="AP427" s="11">
        <f t="shared" si="1010"/>
        <v>0</v>
      </c>
      <c r="AR427" s="11">
        <f t="shared" si="1011"/>
        <v>212.99994047620817</v>
      </c>
    </row>
    <row r="428" spans="1:44">
      <c r="D428" s="306" t="s">
        <v>248</v>
      </c>
      <c r="E428" s="282">
        <v>2010</v>
      </c>
      <c r="F428" s="284">
        <v>12</v>
      </c>
      <c r="G428" s="307">
        <v>0</v>
      </c>
      <c r="H428" s="286"/>
      <c r="I428" s="308" t="s">
        <v>86</v>
      </c>
      <c r="J428" s="284">
        <v>7</v>
      </c>
      <c r="K428" s="309">
        <f t="shared" si="1012"/>
        <v>2017</v>
      </c>
      <c r="N428" s="285">
        <v>4681.47</v>
      </c>
      <c r="P428" s="286">
        <f t="shared" si="1013"/>
        <v>4681.47</v>
      </c>
      <c r="Q428" s="286">
        <f t="shared" si="1014"/>
        <v>55.731785714285714</v>
      </c>
      <c r="R428" s="286">
        <f t="shared" si="1015"/>
        <v>613.04964285719359</v>
      </c>
      <c r="T428" s="286">
        <f t="shared" si="1016"/>
        <v>613.04964285719359</v>
      </c>
      <c r="U428" s="286">
        <v>1</v>
      </c>
      <c r="V428" s="286">
        <f t="shared" si="1017"/>
        <v>613.04964285719359</v>
      </c>
      <c r="W428" s="286"/>
      <c r="X428" s="286">
        <f t="shared" si="1018"/>
        <v>4068.4203571428066</v>
      </c>
      <c r="Y428" s="286">
        <f t="shared" si="1019"/>
        <v>4068.4203571428066</v>
      </c>
      <c r="Z428" s="286">
        <v>1</v>
      </c>
      <c r="AA428" s="286">
        <f t="shared" si="1020"/>
        <v>4068.4203571428066</v>
      </c>
      <c r="AB428" s="286">
        <f t="shared" si="1021"/>
        <v>4681.47</v>
      </c>
      <c r="AC428" s="286">
        <f t="shared" si="1022"/>
        <v>306.52482142859685</v>
      </c>
      <c r="AD428" s="286">
        <f t="shared" si="1023"/>
        <v>2010.9166666666667</v>
      </c>
      <c r="AE428" s="286">
        <f t="shared" si="292"/>
        <v>2018</v>
      </c>
      <c r="AF428" s="286">
        <f t="shared" si="1024"/>
        <v>2017.9166666666667</v>
      </c>
      <c r="AG428" s="286">
        <f t="shared" si="293"/>
        <v>2017</v>
      </c>
      <c r="AH428" s="286">
        <f t="shared" si="1025"/>
        <v>-8.3333333333333329E-2</v>
      </c>
      <c r="AJ428" s="11">
        <f t="shared" si="1007"/>
        <v>0</v>
      </c>
      <c r="AL428" s="11">
        <f t="shared" si="1008"/>
        <v>613.04964285719359</v>
      </c>
      <c r="AN428" s="11">
        <f t="shared" si="1009"/>
        <v>0</v>
      </c>
      <c r="AP428" s="11">
        <f t="shared" si="1010"/>
        <v>0</v>
      </c>
      <c r="AR428" s="11">
        <f t="shared" si="1011"/>
        <v>306.52482142859685</v>
      </c>
    </row>
    <row r="429" spans="1:44">
      <c r="D429" s="306" t="s">
        <v>249</v>
      </c>
      <c r="E429" s="282">
        <v>2010</v>
      </c>
      <c r="F429" s="284">
        <v>12</v>
      </c>
      <c r="G429" s="307">
        <v>0</v>
      </c>
      <c r="H429" s="286"/>
      <c r="I429" s="308" t="s">
        <v>86</v>
      </c>
      <c r="J429" s="284">
        <v>7</v>
      </c>
      <c r="K429" s="309">
        <f t="shared" si="1012"/>
        <v>2017</v>
      </c>
      <c r="N429" s="285">
        <v>3765.82</v>
      </c>
      <c r="P429" s="286">
        <f t="shared" si="1013"/>
        <v>3765.82</v>
      </c>
      <c r="Q429" s="286">
        <f t="shared" si="1014"/>
        <v>44.831190476190478</v>
      </c>
      <c r="R429" s="286">
        <f t="shared" si="1015"/>
        <v>493.14309523813603</v>
      </c>
      <c r="T429" s="286">
        <f t="shared" si="1016"/>
        <v>493.14309523813603</v>
      </c>
      <c r="U429" s="286">
        <v>1</v>
      </c>
      <c r="V429" s="286">
        <f t="shared" si="1017"/>
        <v>493.14309523813603</v>
      </c>
      <c r="W429" s="286"/>
      <c r="X429" s="286">
        <f t="shared" si="1018"/>
        <v>3272.6769047618641</v>
      </c>
      <c r="Y429" s="286">
        <f t="shared" si="1019"/>
        <v>3272.6769047618641</v>
      </c>
      <c r="Z429" s="286">
        <v>1</v>
      </c>
      <c r="AA429" s="286">
        <f t="shared" si="1020"/>
        <v>3272.6769047618641</v>
      </c>
      <c r="AB429" s="286">
        <f t="shared" si="1021"/>
        <v>3765.82</v>
      </c>
      <c r="AC429" s="286">
        <f t="shared" si="1022"/>
        <v>246.57154761906804</v>
      </c>
      <c r="AD429" s="286">
        <f t="shared" si="1023"/>
        <v>2010.9166666666667</v>
      </c>
      <c r="AE429" s="286">
        <f t="shared" si="292"/>
        <v>2018</v>
      </c>
      <c r="AF429" s="286">
        <f t="shared" si="1024"/>
        <v>2017.9166666666667</v>
      </c>
      <c r="AG429" s="286">
        <f t="shared" si="293"/>
        <v>2017</v>
      </c>
      <c r="AH429" s="286">
        <f t="shared" si="1025"/>
        <v>-8.3333333333333329E-2</v>
      </c>
      <c r="AJ429" s="11">
        <f t="shared" si="1007"/>
        <v>0</v>
      </c>
      <c r="AL429" s="11">
        <f t="shared" si="1008"/>
        <v>493.14309523813603</v>
      </c>
      <c r="AN429" s="11">
        <f t="shared" si="1009"/>
        <v>0</v>
      </c>
      <c r="AP429" s="11">
        <f t="shared" si="1010"/>
        <v>0</v>
      </c>
      <c r="AR429" s="11">
        <f t="shared" si="1011"/>
        <v>246.57154761906804</v>
      </c>
    </row>
    <row r="430" spans="1:44">
      <c r="D430" s="306" t="s">
        <v>250</v>
      </c>
      <c r="E430" s="282">
        <v>2011</v>
      </c>
      <c r="F430" s="284">
        <v>1</v>
      </c>
      <c r="G430" s="307">
        <v>0</v>
      </c>
      <c r="H430" s="286"/>
      <c r="I430" s="308" t="s">
        <v>86</v>
      </c>
      <c r="J430" s="284">
        <v>7</v>
      </c>
      <c r="K430" s="309">
        <f t="shared" si="1012"/>
        <v>2018</v>
      </c>
      <c r="N430" s="285">
        <f>1674.5+7417</f>
        <v>9091.5</v>
      </c>
      <c r="P430" s="286">
        <f t="shared" si="1013"/>
        <v>9091.5</v>
      </c>
      <c r="Q430" s="286">
        <f t="shared" si="1014"/>
        <v>108.23214285714285</v>
      </c>
      <c r="R430" s="286">
        <f t="shared" si="1015"/>
        <v>1298.7857142857142</v>
      </c>
      <c r="T430" s="286">
        <f t="shared" si="1016"/>
        <v>1298.7857142857142</v>
      </c>
      <c r="U430" s="286">
        <v>1</v>
      </c>
      <c r="V430" s="286">
        <f t="shared" si="1017"/>
        <v>1298.7857142857142</v>
      </c>
      <c r="W430" s="286"/>
      <c r="X430" s="286">
        <f t="shared" si="1018"/>
        <v>7792.7142857142862</v>
      </c>
      <c r="Y430" s="286">
        <f t="shared" si="1019"/>
        <v>7792.7142857142862</v>
      </c>
      <c r="Z430" s="286">
        <v>1</v>
      </c>
      <c r="AA430" s="286">
        <f t="shared" si="1020"/>
        <v>7792.7142857142862</v>
      </c>
      <c r="AB430" s="286">
        <f t="shared" si="1021"/>
        <v>9091.5</v>
      </c>
      <c r="AC430" s="286">
        <f t="shared" si="1022"/>
        <v>649.39285714285688</v>
      </c>
      <c r="AD430" s="286">
        <f t="shared" si="1023"/>
        <v>2011</v>
      </c>
      <c r="AE430" s="286">
        <f t="shared" si="292"/>
        <v>2018</v>
      </c>
      <c r="AF430" s="286">
        <f t="shared" si="1024"/>
        <v>2018</v>
      </c>
      <c r="AG430" s="286">
        <f t="shared" si="293"/>
        <v>2017</v>
      </c>
      <c r="AH430" s="286">
        <f t="shared" si="1025"/>
        <v>-8.3333333333333329E-2</v>
      </c>
      <c r="AJ430" s="11">
        <f t="shared" si="1007"/>
        <v>0</v>
      </c>
      <c r="AL430" s="11">
        <f t="shared" si="1008"/>
        <v>1298.7857142857142</v>
      </c>
      <c r="AN430" s="11">
        <f t="shared" si="1009"/>
        <v>0</v>
      </c>
      <c r="AP430" s="11">
        <f t="shared" si="1010"/>
        <v>0</v>
      </c>
      <c r="AR430" s="11">
        <f t="shared" si="1011"/>
        <v>649.39285714285688</v>
      </c>
    </row>
    <row r="431" spans="1:44">
      <c r="D431" s="306" t="s">
        <v>251</v>
      </c>
      <c r="E431" s="282">
        <v>2011</v>
      </c>
      <c r="F431" s="284">
        <v>7</v>
      </c>
      <c r="G431" s="307">
        <v>0</v>
      </c>
      <c r="H431" s="286"/>
      <c r="I431" s="308" t="s">
        <v>86</v>
      </c>
      <c r="J431" s="284">
        <v>7</v>
      </c>
      <c r="K431" s="309">
        <f t="shared" si="1012"/>
        <v>2018</v>
      </c>
      <c r="N431" s="285">
        <v>5203.2</v>
      </c>
      <c r="P431" s="286">
        <f t="shared" si="1013"/>
        <v>5203.2</v>
      </c>
      <c r="Q431" s="286">
        <f t="shared" si="1014"/>
        <v>61.942857142857143</v>
      </c>
      <c r="R431" s="286">
        <f t="shared" si="1015"/>
        <v>743.31428571428569</v>
      </c>
      <c r="T431" s="286">
        <f t="shared" si="1016"/>
        <v>743.31428571428569</v>
      </c>
      <c r="U431" s="286">
        <v>1</v>
      </c>
      <c r="V431" s="286">
        <f t="shared" si="1017"/>
        <v>743.31428571428569</v>
      </c>
      <c r="W431" s="286"/>
      <c r="X431" s="286">
        <f t="shared" si="1018"/>
        <v>4088.2285714285713</v>
      </c>
      <c r="Y431" s="286">
        <f t="shared" si="1019"/>
        <v>4088.2285714285713</v>
      </c>
      <c r="Z431" s="286">
        <v>1</v>
      </c>
      <c r="AA431" s="286">
        <f t="shared" si="1020"/>
        <v>4088.2285714285713</v>
      </c>
      <c r="AB431" s="286">
        <f t="shared" si="1021"/>
        <v>4831.5428571428565</v>
      </c>
      <c r="AC431" s="286">
        <f t="shared" si="1022"/>
        <v>743.31428571428592</v>
      </c>
      <c r="AD431" s="286">
        <f t="shared" si="1023"/>
        <v>2011.5</v>
      </c>
      <c r="AE431" s="286">
        <f t="shared" si="292"/>
        <v>2018</v>
      </c>
      <c r="AF431" s="286">
        <f t="shared" si="1024"/>
        <v>2018.5</v>
      </c>
      <c r="AG431" s="286">
        <f t="shared" si="293"/>
        <v>2017</v>
      </c>
      <c r="AH431" s="286">
        <f t="shared" si="1025"/>
        <v>-8.3333333333333329E-2</v>
      </c>
      <c r="AJ431" s="11">
        <f t="shared" si="1007"/>
        <v>0</v>
      </c>
      <c r="AL431" s="11">
        <f t="shared" si="1008"/>
        <v>743.31428571428569</v>
      </c>
      <c r="AN431" s="11">
        <f t="shared" si="1009"/>
        <v>0</v>
      </c>
      <c r="AP431" s="11">
        <f t="shared" si="1010"/>
        <v>0</v>
      </c>
      <c r="AR431" s="11">
        <f t="shared" si="1011"/>
        <v>743.31428571428592</v>
      </c>
    </row>
    <row r="432" spans="1:44">
      <c r="A432" s="282">
        <v>91092</v>
      </c>
      <c r="D432" s="306" t="s">
        <v>252</v>
      </c>
      <c r="E432" s="282">
        <v>2012</v>
      </c>
      <c r="F432" s="284">
        <v>1</v>
      </c>
      <c r="G432" s="307">
        <v>0</v>
      </c>
      <c r="H432" s="286"/>
      <c r="I432" s="308" t="s">
        <v>86</v>
      </c>
      <c r="J432" s="284">
        <v>7</v>
      </c>
      <c r="K432" s="309">
        <f t="shared" si="1012"/>
        <v>2019</v>
      </c>
      <c r="N432" s="285">
        <v>6806.52</v>
      </c>
      <c r="P432" s="286">
        <f t="shared" si="1013"/>
        <v>6806.52</v>
      </c>
      <c r="Q432" s="286">
        <f t="shared" si="1014"/>
        <v>81.03</v>
      </c>
      <c r="R432" s="286">
        <f t="shared" si="1015"/>
        <v>972.36</v>
      </c>
      <c r="T432" s="286">
        <f t="shared" si="1016"/>
        <v>972.36</v>
      </c>
      <c r="U432" s="286">
        <v>1</v>
      </c>
      <c r="V432" s="286">
        <f t="shared" si="1017"/>
        <v>972.36</v>
      </c>
      <c r="W432" s="286"/>
      <c r="X432" s="286">
        <f t="shared" si="1018"/>
        <v>4861.8</v>
      </c>
      <c r="Y432" s="286">
        <f t="shared" si="1019"/>
        <v>4861.8</v>
      </c>
      <c r="Z432" s="286">
        <v>1</v>
      </c>
      <c r="AA432" s="286">
        <f t="shared" si="1020"/>
        <v>4861.8</v>
      </c>
      <c r="AB432" s="286">
        <f t="shared" si="1021"/>
        <v>5834.16</v>
      </c>
      <c r="AC432" s="286">
        <f t="shared" si="1022"/>
        <v>1458.5400000000004</v>
      </c>
      <c r="AD432" s="286">
        <f t="shared" si="1023"/>
        <v>2012</v>
      </c>
      <c r="AE432" s="286">
        <f t="shared" si="292"/>
        <v>2018</v>
      </c>
      <c r="AF432" s="286">
        <f t="shared" si="1024"/>
        <v>2019</v>
      </c>
      <c r="AG432" s="286">
        <f t="shared" si="293"/>
        <v>2017</v>
      </c>
      <c r="AH432" s="286">
        <f t="shared" si="1025"/>
        <v>-8.3333333333333329E-2</v>
      </c>
      <c r="AJ432" s="11">
        <f t="shared" si="1007"/>
        <v>0</v>
      </c>
      <c r="AL432" s="11">
        <f t="shared" si="1008"/>
        <v>972.36</v>
      </c>
      <c r="AN432" s="11">
        <f t="shared" si="1009"/>
        <v>0</v>
      </c>
      <c r="AP432" s="11">
        <f t="shared" si="1010"/>
        <v>0</v>
      </c>
      <c r="AR432" s="11">
        <f t="shared" si="1011"/>
        <v>1458.5400000000004</v>
      </c>
    </row>
    <row r="433" spans="1:44">
      <c r="A433" s="282">
        <v>95050</v>
      </c>
      <c r="D433" s="306" t="s">
        <v>253</v>
      </c>
      <c r="E433" s="282">
        <v>2012</v>
      </c>
      <c r="F433" s="284">
        <v>4</v>
      </c>
      <c r="G433" s="307">
        <v>0</v>
      </c>
      <c r="H433" s="286"/>
      <c r="I433" s="308" t="s">
        <v>86</v>
      </c>
      <c r="J433" s="284">
        <v>5</v>
      </c>
      <c r="K433" s="309">
        <f t="shared" si="1012"/>
        <v>2017</v>
      </c>
      <c r="N433" s="285">
        <v>466.06</v>
      </c>
      <c r="P433" s="286">
        <f t="shared" si="1013"/>
        <v>466.06</v>
      </c>
      <c r="Q433" s="286">
        <f t="shared" si="1014"/>
        <v>7.7676666666666669</v>
      </c>
      <c r="R433" s="286">
        <f t="shared" si="1015"/>
        <v>23.303000000000001</v>
      </c>
      <c r="T433" s="286">
        <f t="shared" si="1016"/>
        <v>23.303000000000001</v>
      </c>
      <c r="U433" s="286">
        <v>1</v>
      </c>
      <c r="V433" s="286">
        <f t="shared" si="1017"/>
        <v>23.303000000000001</v>
      </c>
      <c r="W433" s="286"/>
      <c r="X433" s="286">
        <f t="shared" si="1018"/>
        <v>442.75700000000001</v>
      </c>
      <c r="Y433" s="286">
        <f t="shared" si="1019"/>
        <v>442.75700000000001</v>
      </c>
      <c r="Z433" s="286">
        <v>1</v>
      </c>
      <c r="AA433" s="286">
        <f t="shared" si="1020"/>
        <v>442.75700000000001</v>
      </c>
      <c r="AB433" s="286">
        <f t="shared" si="1021"/>
        <v>466.06</v>
      </c>
      <c r="AC433" s="286">
        <f t="shared" si="1022"/>
        <v>11.651499999999999</v>
      </c>
      <c r="AD433" s="286">
        <f t="shared" si="1023"/>
        <v>2012.25</v>
      </c>
      <c r="AE433" s="286">
        <f t="shared" si="292"/>
        <v>2018</v>
      </c>
      <c r="AF433" s="286">
        <f t="shared" si="1024"/>
        <v>2017.25</v>
      </c>
      <c r="AG433" s="286">
        <f t="shared" si="293"/>
        <v>2017</v>
      </c>
      <c r="AH433" s="286">
        <f t="shared" si="1025"/>
        <v>-8.3333333333333329E-2</v>
      </c>
      <c r="AJ433" s="11">
        <f t="shared" si="1007"/>
        <v>0</v>
      </c>
      <c r="AL433" s="11">
        <f t="shared" si="1008"/>
        <v>23.303000000000001</v>
      </c>
      <c r="AN433" s="11">
        <f t="shared" si="1009"/>
        <v>0</v>
      </c>
      <c r="AP433" s="11">
        <f t="shared" si="1010"/>
        <v>0</v>
      </c>
      <c r="AR433" s="11">
        <f t="shared" si="1011"/>
        <v>11.651499999999999</v>
      </c>
    </row>
    <row r="434" spans="1:44">
      <c r="B434" s="284" t="s">
        <v>2</v>
      </c>
      <c r="C434" s="282" t="s">
        <v>243</v>
      </c>
      <c r="D434" s="306" t="s">
        <v>225</v>
      </c>
      <c r="E434" s="282">
        <v>2012</v>
      </c>
      <c r="F434" s="284">
        <v>7</v>
      </c>
      <c r="G434" s="307">
        <v>0.2</v>
      </c>
      <c r="H434" s="286"/>
      <c r="I434" s="308" t="s">
        <v>86</v>
      </c>
      <c r="J434" s="284">
        <v>7</v>
      </c>
      <c r="K434" s="309">
        <f t="shared" si="1012"/>
        <v>2019</v>
      </c>
      <c r="N434" s="285">
        <v>595</v>
      </c>
      <c r="O434" s="310"/>
      <c r="P434" s="286">
        <f t="shared" si="1013"/>
        <v>476</v>
      </c>
      <c r="Q434" s="286">
        <f t="shared" si="1014"/>
        <v>5.666666666666667</v>
      </c>
      <c r="R434" s="286">
        <f t="shared" si="1015"/>
        <v>68</v>
      </c>
      <c r="S434" s="286"/>
      <c r="T434" s="286">
        <f t="shared" si="1016"/>
        <v>68</v>
      </c>
      <c r="U434" s="286">
        <v>1</v>
      </c>
      <c r="V434" s="286">
        <f t="shared" si="1017"/>
        <v>68</v>
      </c>
      <c r="W434" s="286"/>
      <c r="X434" s="286">
        <f t="shared" si="1018"/>
        <v>306</v>
      </c>
      <c r="Y434" s="286">
        <f t="shared" si="1019"/>
        <v>306</v>
      </c>
      <c r="Z434" s="286">
        <v>1</v>
      </c>
      <c r="AA434" s="286">
        <f t="shared" si="1020"/>
        <v>306</v>
      </c>
      <c r="AB434" s="286">
        <f t="shared" si="1021"/>
        <v>374</v>
      </c>
      <c r="AC434" s="286">
        <f t="shared" si="1022"/>
        <v>255</v>
      </c>
      <c r="AD434" s="286">
        <f t="shared" si="1023"/>
        <v>2012.5</v>
      </c>
      <c r="AE434" s="286">
        <f t="shared" si="292"/>
        <v>2018</v>
      </c>
      <c r="AF434" s="286">
        <f t="shared" si="1024"/>
        <v>2019.5</v>
      </c>
      <c r="AG434" s="286">
        <f t="shared" si="293"/>
        <v>2017</v>
      </c>
      <c r="AH434" s="286">
        <f t="shared" si="1025"/>
        <v>-8.3333333333333329E-2</v>
      </c>
      <c r="AJ434" s="11">
        <f t="shared" si="1007"/>
        <v>39.666666666666664</v>
      </c>
      <c r="AL434" s="11">
        <f t="shared" si="1008"/>
        <v>107.66666666666666</v>
      </c>
      <c r="AN434" s="11">
        <f t="shared" si="1009"/>
        <v>0</v>
      </c>
      <c r="AP434" s="11">
        <f t="shared" si="1010"/>
        <v>235.16666666666666</v>
      </c>
      <c r="AR434" s="11">
        <f t="shared" si="1011"/>
        <v>235.16666666666666</v>
      </c>
    </row>
    <row r="435" spans="1:44">
      <c r="A435" s="282">
        <v>120330</v>
      </c>
      <c r="B435" s="284"/>
      <c r="D435" s="306" t="s">
        <v>323</v>
      </c>
      <c r="E435" s="282">
        <v>2015</v>
      </c>
      <c r="F435" s="284">
        <v>1</v>
      </c>
      <c r="G435" s="307">
        <v>0</v>
      </c>
      <c r="H435" s="286"/>
      <c r="I435" s="308" t="s">
        <v>86</v>
      </c>
      <c r="J435" s="284">
        <v>5</v>
      </c>
      <c r="K435" s="309">
        <f t="shared" si="1012"/>
        <v>2020</v>
      </c>
      <c r="N435" s="285">
        <v>17574.62</v>
      </c>
      <c r="O435" s="310"/>
      <c r="P435" s="286">
        <f t="shared" si="1013"/>
        <v>17574.62</v>
      </c>
      <c r="Q435" s="286">
        <f t="shared" si="1014"/>
        <v>292.91033333333331</v>
      </c>
      <c r="R435" s="286">
        <f t="shared" ref="R435" si="1036">IF(O435&gt;0,0,IF(OR(AD435&gt;AE435,AF435&lt;AG435),0,IF(AND(AF435&gt;=AG435,AF435&lt;=AE435),Q435*((AF435-AG435)*12),IF(AND(AG435&lt;=AD435,AE435&gt;=AD435),((AE435-AD435)*12)*Q435,IF(AF435&gt;AE435,12*Q435,0)))))</f>
        <v>3514.924</v>
      </c>
      <c r="S435" s="286"/>
      <c r="T435" s="286">
        <f t="shared" ref="T435" si="1037">IF(S435&gt;0,S435,R435)</f>
        <v>3514.924</v>
      </c>
      <c r="U435" s="286">
        <v>1</v>
      </c>
      <c r="V435" s="286">
        <f t="shared" ref="V435" si="1038">U435*SUM(R435:S435)</f>
        <v>3514.924</v>
      </c>
      <c r="W435" s="286"/>
      <c r="X435" s="286">
        <f t="shared" ref="X435" si="1039">IF(AD435&gt;AE435,0,IF(AF435&lt;AG435,P435,IF(AND(AF435&gt;=AG435,AF435&lt;=AE435),(P435-T435),IF(AND(AG435&lt;=AD435,AE435&gt;=AD435),0,IF(AF435&gt;AE435,((AG435-AD435)*12)*Q435,0)))))</f>
        <v>7029.848</v>
      </c>
      <c r="Y435" s="286">
        <f t="shared" ref="Y435" si="1040">X435*U435</f>
        <v>7029.848</v>
      </c>
      <c r="Z435" s="286">
        <v>1</v>
      </c>
      <c r="AA435" s="286">
        <f t="shared" ref="AA435" si="1041">Y435*Z435</f>
        <v>7029.848</v>
      </c>
      <c r="AB435" s="286">
        <f t="shared" ref="AB435" si="1042">IF(O435&gt;0,0,AA435+V435*Z435)*Z435</f>
        <v>10544.772000000001</v>
      </c>
      <c r="AC435" s="286">
        <f t="shared" ref="AC435" si="1043">IF(O435&gt;0,(N435-AA435)/2,IF(AD435&gt;=AG435,(((N435*U435)*Z435)-AB435)/2,((((N435*U435)*Z435)-AA435)+(((N435*U435)*Z435)-AB435))/2))</f>
        <v>8787.3099999999977</v>
      </c>
      <c r="AD435" s="286">
        <f t="shared" si="1023"/>
        <v>2015</v>
      </c>
      <c r="AE435" s="286">
        <f t="shared" si="292"/>
        <v>2018</v>
      </c>
      <c r="AF435" s="286">
        <f t="shared" si="1024"/>
        <v>2020</v>
      </c>
      <c r="AG435" s="286">
        <f t="shared" si="293"/>
        <v>2017</v>
      </c>
      <c r="AH435" s="286">
        <f t="shared" si="1025"/>
        <v>-8.3333333333333329E-2</v>
      </c>
      <c r="AJ435" s="11">
        <f t="shared" si="1007"/>
        <v>0</v>
      </c>
      <c r="AL435" s="11">
        <f t="shared" si="1008"/>
        <v>3514.924</v>
      </c>
      <c r="AN435" s="11">
        <f t="shared" si="1009"/>
        <v>0</v>
      </c>
      <c r="AP435" s="11">
        <f t="shared" si="1010"/>
        <v>0</v>
      </c>
      <c r="AR435" s="11">
        <f t="shared" si="1011"/>
        <v>8787.3099999999977</v>
      </c>
    </row>
    <row r="436" spans="1:44">
      <c r="A436" s="282">
        <v>121096</v>
      </c>
      <c r="B436" s="284"/>
      <c r="D436" s="306" t="s">
        <v>324</v>
      </c>
      <c r="E436" s="282">
        <v>2015</v>
      </c>
      <c r="F436" s="284">
        <v>3</v>
      </c>
      <c r="G436" s="307">
        <v>0</v>
      </c>
      <c r="H436" s="286"/>
      <c r="I436" s="308" t="s">
        <v>86</v>
      </c>
      <c r="J436" s="284">
        <v>5</v>
      </c>
      <c r="K436" s="309">
        <f t="shared" si="1012"/>
        <v>2020</v>
      </c>
      <c r="N436" s="285">
        <v>8263.36</v>
      </c>
      <c r="O436" s="310"/>
      <c r="P436" s="286">
        <f t="shared" si="1013"/>
        <v>8263.36</v>
      </c>
      <c r="Q436" s="286">
        <f t="shared" si="1014"/>
        <v>137.72266666666667</v>
      </c>
      <c r="R436" s="286">
        <f t="shared" ref="R436" si="1044">IF(O436&gt;0,0,IF(OR(AD436&gt;AE436,AF436&lt;AG436),0,IF(AND(AF436&gt;=AG436,AF436&lt;=AE436),Q436*((AF436-AG436)*12),IF(AND(AG436&lt;=AD436,AE436&gt;=AD436),((AE436-AD436)*12)*Q436,IF(AF436&gt;AE436,12*Q436,0)))))</f>
        <v>1652.672</v>
      </c>
      <c r="S436" s="286"/>
      <c r="T436" s="286">
        <f t="shared" ref="T436" si="1045">IF(S436&gt;0,S436,R436)</f>
        <v>1652.672</v>
      </c>
      <c r="U436" s="286">
        <v>1</v>
      </c>
      <c r="V436" s="286">
        <f t="shared" ref="V436" si="1046">U436*SUM(R436:S436)</f>
        <v>1652.672</v>
      </c>
      <c r="W436" s="286"/>
      <c r="X436" s="286">
        <f t="shared" ref="X436" si="1047">IF(AD436&gt;AE436,0,IF(AF436&lt;AG436,P436,IF(AND(AF436&gt;=AG436,AF436&lt;=AE436),(P436-T436),IF(AND(AG436&lt;=AD436,AE436&gt;=AD436),0,IF(AF436&gt;AE436,((AG436-AD436)*12)*Q436,0)))))</f>
        <v>3029.8986666665414</v>
      </c>
      <c r="Y436" s="286">
        <f t="shared" ref="Y436" si="1048">X436*U436</f>
        <v>3029.8986666665414</v>
      </c>
      <c r="Z436" s="286">
        <v>1</v>
      </c>
      <c r="AA436" s="286">
        <f t="shared" ref="AA436" si="1049">Y436*Z436</f>
        <v>3029.8986666665414</v>
      </c>
      <c r="AB436" s="286">
        <f t="shared" ref="AB436" si="1050">IF(O436&gt;0,0,AA436+V436*Z436)*Z436</f>
        <v>4682.570666666541</v>
      </c>
      <c r="AC436" s="286">
        <f t="shared" ref="AC436" si="1051">IF(O436&gt;0,(N436-AA436)/2,IF(AD436&gt;=AG436,(((N436*U436)*Z436)-AB436)/2,((((N436*U436)*Z436)-AA436)+(((N436*U436)*Z436)-AB436))/2))</f>
        <v>4407.1253333334589</v>
      </c>
      <c r="AD436" s="286">
        <f t="shared" si="1023"/>
        <v>2015.1666666666667</v>
      </c>
      <c r="AE436" s="286">
        <f t="shared" si="292"/>
        <v>2018</v>
      </c>
      <c r="AF436" s="286">
        <f t="shared" si="1024"/>
        <v>2020.1666666666667</v>
      </c>
      <c r="AG436" s="286">
        <f t="shared" si="293"/>
        <v>2017</v>
      </c>
      <c r="AH436" s="286">
        <f t="shared" si="1025"/>
        <v>-8.3333333333333329E-2</v>
      </c>
      <c r="AJ436" s="11">
        <f t="shared" si="1007"/>
        <v>0</v>
      </c>
      <c r="AL436" s="11">
        <f t="shared" si="1008"/>
        <v>1652.672</v>
      </c>
      <c r="AN436" s="11">
        <f t="shared" si="1009"/>
        <v>0</v>
      </c>
      <c r="AP436" s="11">
        <f t="shared" si="1010"/>
        <v>0</v>
      </c>
      <c r="AR436" s="11">
        <f t="shared" si="1011"/>
        <v>4407.1253333334589</v>
      </c>
    </row>
    <row r="437" spans="1:44">
      <c r="A437" s="282">
        <v>124277</v>
      </c>
      <c r="B437" s="284"/>
      <c r="D437" s="306" t="s">
        <v>329</v>
      </c>
      <c r="E437" s="282">
        <v>2015</v>
      </c>
      <c r="F437" s="284">
        <v>7</v>
      </c>
      <c r="G437" s="307">
        <v>0</v>
      </c>
      <c r="H437" s="286"/>
      <c r="I437" s="308" t="s">
        <v>86</v>
      </c>
      <c r="J437" s="284">
        <v>5</v>
      </c>
      <c r="K437" s="309">
        <f t="shared" si="1012"/>
        <v>2020</v>
      </c>
      <c r="N437" s="285">
        <v>4937</v>
      </c>
      <c r="O437" s="310"/>
      <c r="P437" s="286">
        <f t="shared" si="1013"/>
        <v>4937</v>
      </c>
      <c r="Q437" s="286">
        <f t="shared" si="1014"/>
        <v>82.283333333333331</v>
      </c>
      <c r="R437" s="286">
        <f t="shared" ref="R437" si="1052">IF(O437&gt;0,0,IF(OR(AD437&gt;AE437,AF437&lt;AG437),0,IF(AND(AF437&gt;=AG437,AF437&lt;=AE437),Q437*((AF437-AG437)*12),IF(AND(AG437&lt;=AD437,AE437&gt;=AD437),((AE437-AD437)*12)*Q437,IF(AF437&gt;AE437,12*Q437,0)))))</f>
        <v>987.4</v>
      </c>
      <c r="S437" s="286"/>
      <c r="T437" s="286">
        <f t="shared" ref="T437" si="1053">IF(S437&gt;0,S437,R437)</f>
        <v>987.4</v>
      </c>
      <c r="U437" s="286">
        <v>1</v>
      </c>
      <c r="V437" s="286">
        <f t="shared" ref="V437" si="1054">U437*SUM(R437:S437)</f>
        <v>987.4</v>
      </c>
      <c r="W437" s="286"/>
      <c r="X437" s="286">
        <f t="shared" ref="X437" si="1055">IF(AD437&gt;AE437,0,IF(AF437&lt;AG437,P437,IF(AND(AF437&gt;=AG437,AF437&lt;=AE437),(P437-T437),IF(AND(AG437&lt;=AD437,AE437&gt;=AD437),0,IF(AF437&gt;AE437,((AG437-AD437)*12)*Q437,0)))))</f>
        <v>1481.1</v>
      </c>
      <c r="Y437" s="286">
        <f t="shared" ref="Y437" si="1056">X437*U437</f>
        <v>1481.1</v>
      </c>
      <c r="Z437" s="286">
        <v>1</v>
      </c>
      <c r="AA437" s="286">
        <f t="shared" ref="AA437" si="1057">Y437*Z437</f>
        <v>1481.1</v>
      </c>
      <c r="AB437" s="286">
        <f t="shared" ref="AB437" si="1058">IF(O437&gt;0,0,AA437+V437*Z437)*Z437</f>
        <v>2468.5</v>
      </c>
      <c r="AC437" s="286">
        <f t="shared" ref="AC437" si="1059">IF(O437&gt;0,(N437-AA437)/2,IF(AD437&gt;=AG437,(((N437*U437)*Z437)-AB437)/2,((((N437*U437)*Z437)-AA437)+(((N437*U437)*Z437)-AB437))/2))</f>
        <v>2962.2</v>
      </c>
      <c r="AD437" s="286">
        <f t="shared" si="1023"/>
        <v>2015.5</v>
      </c>
      <c r="AE437" s="286">
        <f t="shared" si="292"/>
        <v>2018</v>
      </c>
      <c r="AF437" s="286">
        <f t="shared" si="1024"/>
        <v>2020.5</v>
      </c>
      <c r="AG437" s="286">
        <f t="shared" si="293"/>
        <v>2017</v>
      </c>
      <c r="AH437" s="286">
        <f t="shared" si="1025"/>
        <v>-8.3333333333333329E-2</v>
      </c>
      <c r="AJ437" s="11">
        <f t="shared" si="1007"/>
        <v>0</v>
      </c>
      <c r="AL437" s="11">
        <f t="shared" si="1008"/>
        <v>987.4</v>
      </c>
      <c r="AN437" s="11">
        <f t="shared" si="1009"/>
        <v>0</v>
      </c>
      <c r="AP437" s="11">
        <f t="shared" si="1010"/>
        <v>0</v>
      </c>
      <c r="AR437" s="11">
        <f t="shared" si="1011"/>
        <v>2962.2</v>
      </c>
    </row>
    <row r="438" spans="1:44">
      <c r="A438" s="282">
        <v>139712</v>
      </c>
      <c r="B438" s="284"/>
      <c r="D438" s="306" t="s">
        <v>345</v>
      </c>
      <c r="E438" s="282">
        <v>2016</v>
      </c>
      <c r="F438" s="284">
        <v>6</v>
      </c>
      <c r="G438" s="307">
        <v>0.33</v>
      </c>
      <c r="H438" s="286"/>
      <c r="I438" s="308" t="s">
        <v>86</v>
      </c>
      <c r="J438" s="284">
        <v>5</v>
      </c>
      <c r="K438" s="309">
        <f t="shared" si="1012"/>
        <v>2021</v>
      </c>
      <c r="N438" s="285">
        <v>30385.43</v>
      </c>
      <c r="O438" s="310"/>
      <c r="P438" s="286">
        <f t="shared" si="1013"/>
        <v>20358.238100000002</v>
      </c>
      <c r="Q438" s="286">
        <f t="shared" si="1014"/>
        <v>339.30396833333339</v>
      </c>
      <c r="R438" s="286">
        <f t="shared" ref="R438" si="1060">IF(O438&gt;0,0,IF(OR(AD438&gt;AE438,AF438&lt;AG438),0,IF(AND(AF438&gt;=AG438,AF438&lt;=AE438),Q438*((AF438-AG438)*12),IF(AND(AG438&lt;=AD438,AE438&gt;=AD438),((AE438-AD438)*12)*Q438,IF(AF438&gt;AE438,12*Q438,0)))))</f>
        <v>4071.6476200000006</v>
      </c>
      <c r="S438" s="286"/>
      <c r="T438" s="286">
        <f t="shared" ref="T438" si="1061">IF(S438&gt;0,S438,R438)</f>
        <v>4071.6476200000006</v>
      </c>
      <c r="U438" s="286">
        <v>1</v>
      </c>
      <c r="V438" s="286">
        <f t="shared" ref="V438" si="1062">U438*SUM(R438:S438)</f>
        <v>4071.6476200000006</v>
      </c>
      <c r="W438" s="286"/>
      <c r="X438" s="286">
        <f t="shared" ref="X438" si="1063">IF(AD438&gt;AE438,0,IF(AF438&lt;AG438,P438,IF(AND(AF438&gt;=AG438,AF438&lt;=AE438),(P438-T438),IF(AND(AG438&lt;=AD438,AE438&gt;=AD438),0,IF(AF438&gt;AE438,((AG438-AD438)*12)*Q438,0)))))</f>
        <v>2375.1277783330252</v>
      </c>
      <c r="Y438" s="286">
        <f t="shared" ref="Y438" si="1064">X438*U438</f>
        <v>2375.1277783330252</v>
      </c>
      <c r="Z438" s="286">
        <v>1</v>
      </c>
      <c r="AA438" s="286">
        <f t="shared" ref="AA438" si="1065">Y438*Z438</f>
        <v>2375.1277783330252</v>
      </c>
      <c r="AB438" s="286">
        <f t="shared" ref="AB438" si="1066">IF(O438&gt;0,0,AA438+V438*Z438)*Z438</f>
        <v>6446.7753983330258</v>
      </c>
      <c r="AC438" s="286">
        <f t="shared" ref="AC438" si="1067">IF(O438&gt;0,(N438-AA438)/2,IF(AD438&gt;=AG438,(((N438*U438)*Z438)-AB438)/2,((((N438*U438)*Z438)-AA438)+(((N438*U438)*Z438)-AB438))/2))</f>
        <v>25974.478411666976</v>
      </c>
      <c r="AD438" s="286">
        <f t="shared" si="1023"/>
        <v>2016.4166666666667</v>
      </c>
      <c r="AE438" s="286">
        <f t="shared" si="292"/>
        <v>2018</v>
      </c>
      <c r="AF438" s="286">
        <f t="shared" si="1024"/>
        <v>2021.4166666666667</v>
      </c>
      <c r="AG438" s="286">
        <f t="shared" si="293"/>
        <v>2017</v>
      </c>
      <c r="AH438" s="286">
        <f t="shared" si="1025"/>
        <v>-8.3333333333333329E-2</v>
      </c>
      <c r="AJ438" s="11">
        <f t="shared" si="1007"/>
        <v>2270.3075999999605</v>
      </c>
      <c r="AL438" s="11">
        <f t="shared" si="1008"/>
        <v>6341.9552199999616</v>
      </c>
      <c r="AN438" s="11">
        <f t="shared" si="1009"/>
        <v>0</v>
      </c>
      <c r="AP438" s="11">
        <f t="shared" si="1010"/>
        <v>24839.324611666994</v>
      </c>
      <c r="AR438" s="11">
        <f t="shared" si="1011"/>
        <v>24839.324611666994</v>
      </c>
    </row>
    <row r="439" spans="1:44">
      <c r="A439" s="282">
        <v>139763</v>
      </c>
      <c r="B439" s="284"/>
      <c r="D439" s="306" t="s">
        <v>324</v>
      </c>
      <c r="E439" s="282">
        <v>2016</v>
      </c>
      <c r="F439" s="284">
        <v>6</v>
      </c>
      <c r="G439" s="307">
        <v>0</v>
      </c>
      <c r="H439" s="286"/>
      <c r="I439" s="308" t="s">
        <v>86</v>
      </c>
      <c r="J439" s="284">
        <v>5</v>
      </c>
      <c r="K439" s="309">
        <f t="shared" si="1012"/>
        <v>2021</v>
      </c>
      <c r="N439" s="285">
        <v>12072.05</v>
      </c>
      <c r="O439" s="310"/>
      <c r="P439" s="286">
        <f t="shared" si="1013"/>
        <v>12072.05</v>
      </c>
      <c r="Q439" s="286">
        <f t="shared" si="1014"/>
        <v>201.20083333333332</v>
      </c>
      <c r="R439" s="286">
        <f t="shared" ref="R439" si="1068">IF(O439&gt;0,0,IF(OR(AD439&gt;AE439,AF439&lt;AG439),0,IF(AND(AF439&gt;=AG439,AF439&lt;=AE439),Q439*((AF439-AG439)*12),IF(AND(AG439&lt;=AD439,AE439&gt;=AD439),((AE439-AD439)*12)*Q439,IF(AF439&gt;AE439,12*Q439,0)))))</f>
        <v>2414.41</v>
      </c>
      <c r="S439" s="286"/>
      <c r="T439" s="286">
        <f t="shared" ref="T439" si="1069">IF(S439&gt;0,S439,R439)</f>
        <v>2414.41</v>
      </c>
      <c r="U439" s="286">
        <v>1</v>
      </c>
      <c r="V439" s="286">
        <f t="shared" ref="V439" si="1070">U439*SUM(R439:S439)</f>
        <v>2414.41</v>
      </c>
      <c r="W439" s="286"/>
      <c r="X439" s="286">
        <f t="shared" ref="X439" si="1071">IF(AD439&gt;AE439,0,IF(AF439&lt;AG439,P439,IF(AND(AF439&gt;=AG439,AF439&lt;=AE439),(P439-T439),IF(AND(AG439&lt;=AD439,AE439&gt;=AD439),0,IF(AF439&gt;AE439,((AG439-AD439)*12)*Q439,0)))))</f>
        <v>1408.4058333331502</v>
      </c>
      <c r="Y439" s="286">
        <f t="shared" ref="Y439" si="1072">X439*U439</f>
        <v>1408.4058333331502</v>
      </c>
      <c r="Z439" s="286">
        <v>1</v>
      </c>
      <c r="AA439" s="286">
        <f t="shared" ref="AA439" si="1073">Y439*Z439</f>
        <v>1408.4058333331502</v>
      </c>
      <c r="AB439" s="286">
        <f t="shared" ref="AB439" si="1074">IF(O439&gt;0,0,AA439+V439*Z439)*Z439</f>
        <v>3822.8158333331503</v>
      </c>
      <c r="AC439" s="286">
        <f t="shared" ref="AC439" si="1075">IF(O439&gt;0,(N439-AA439)/2,IF(AD439&gt;=AG439,(((N439*U439)*Z439)-AB439)/2,((((N439*U439)*Z439)-AA439)+(((N439*U439)*Z439)-AB439))/2))</f>
        <v>9456.4391666668489</v>
      </c>
      <c r="AD439" s="286">
        <f t="shared" si="1023"/>
        <v>2016.4166666666667</v>
      </c>
      <c r="AE439" s="286">
        <f t="shared" si="292"/>
        <v>2018</v>
      </c>
      <c r="AF439" s="286">
        <f t="shared" si="1024"/>
        <v>2021.4166666666667</v>
      </c>
      <c r="AG439" s="286">
        <f t="shared" si="293"/>
        <v>2017</v>
      </c>
      <c r="AH439" s="286">
        <f t="shared" si="1025"/>
        <v>-8.3333333333333329E-2</v>
      </c>
      <c r="AJ439" s="11">
        <f t="shared" si="1007"/>
        <v>0</v>
      </c>
      <c r="AL439" s="11">
        <f t="shared" si="1008"/>
        <v>2414.41</v>
      </c>
      <c r="AN439" s="11">
        <f t="shared" si="1009"/>
        <v>0</v>
      </c>
      <c r="AP439" s="11">
        <f t="shared" si="1010"/>
        <v>0</v>
      </c>
      <c r="AR439" s="11">
        <f t="shared" si="1011"/>
        <v>9456.4391666668489</v>
      </c>
    </row>
    <row r="440" spans="1:44">
      <c r="A440" s="282">
        <v>170260</v>
      </c>
      <c r="B440" s="284"/>
      <c r="D440" s="306" t="s">
        <v>352</v>
      </c>
      <c r="E440" s="282">
        <v>2016</v>
      </c>
      <c r="F440" s="284">
        <v>11</v>
      </c>
      <c r="G440" s="307">
        <v>0</v>
      </c>
      <c r="H440" s="286"/>
      <c r="I440" s="308" t="s">
        <v>86</v>
      </c>
      <c r="J440" s="284">
        <v>6</v>
      </c>
      <c r="K440" s="309">
        <f t="shared" ref="K440" si="1076">E440+J440</f>
        <v>2022</v>
      </c>
      <c r="N440" s="285">
        <v>9792</v>
      </c>
      <c r="O440" s="310"/>
      <c r="P440" s="286">
        <f t="shared" ref="P440" si="1077">N440-N440*G440</f>
        <v>9792</v>
      </c>
      <c r="Q440" s="286">
        <f t="shared" ref="Q440" si="1078">P440/J440/12</f>
        <v>136</v>
      </c>
      <c r="R440" s="286">
        <f t="shared" ref="R440" si="1079">IF(O440&gt;0,0,IF(OR(AD440&gt;AE440,AF440&lt;AG440),0,IF(AND(AF440&gt;=AG440,AF440&lt;=AE440),Q440*((AF440-AG440)*12),IF(AND(AG440&lt;=AD440,AE440&gt;=AD440),((AE440-AD440)*12)*Q440,IF(AF440&gt;AE440,12*Q440,0)))))</f>
        <v>1632</v>
      </c>
      <c r="S440" s="286"/>
      <c r="T440" s="286">
        <f t="shared" ref="T440" si="1080">IF(S440&gt;0,S440,R440)</f>
        <v>1632</v>
      </c>
      <c r="U440" s="286">
        <v>1</v>
      </c>
      <c r="V440" s="286">
        <f t="shared" ref="V440" si="1081">U440*SUM(R440:S440)</f>
        <v>1632</v>
      </c>
      <c r="W440" s="286"/>
      <c r="X440" s="286">
        <f t="shared" ref="X440" si="1082">IF(AD440&gt;AE440,0,IF(AF440&lt;AG440,P440,IF(AND(AF440&gt;=AG440,AF440&lt;=AE440),(P440-T440),IF(AND(AG440&lt;=AD440,AE440&gt;=AD440),0,IF(AF440&gt;AE440,((AG440-AD440)*12)*Q440,0)))))</f>
        <v>272.00000000012369</v>
      </c>
      <c r="Y440" s="286">
        <f t="shared" ref="Y440" si="1083">X440*U440</f>
        <v>272.00000000012369</v>
      </c>
      <c r="Z440" s="286">
        <v>1</v>
      </c>
      <c r="AA440" s="286">
        <f t="shared" ref="AA440" si="1084">Y440*Z440</f>
        <v>272.00000000012369</v>
      </c>
      <c r="AB440" s="286">
        <f t="shared" ref="AB440" si="1085">IF(O440&gt;0,0,AA440+V440*Z440)*Z440</f>
        <v>1904.0000000001237</v>
      </c>
      <c r="AC440" s="286">
        <f t="shared" ref="AC440" si="1086">IF(O440&gt;0,(N440-AA440)/2,IF(AD440&gt;=AG440,(((N440*U440)*Z440)-AB440)/2,((((N440*U440)*Z440)-AA440)+(((N440*U440)*Z440)-AB440))/2))</f>
        <v>8703.9999999998763</v>
      </c>
      <c r="AD440" s="286">
        <f t="shared" si="1023"/>
        <v>2016.8333333333333</v>
      </c>
      <c r="AE440" s="286">
        <f t="shared" si="292"/>
        <v>2018</v>
      </c>
      <c r="AF440" s="286">
        <f t="shared" si="1024"/>
        <v>2022.8333333333333</v>
      </c>
      <c r="AG440" s="286">
        <f t="shared" si="293"/>
        <v>2017</v>
      </c>
      <c r="AH440" s="286">
        <f t="shared" si="1025"/>
        <v>-8.3333333333333329E-2</v>
      </c>
      <c r="AJ440" s="11">
        <f t="shared" si="1007"/>
        <v>0</v>
      </c>
      <c r="AL440" s="11">
        <f t="shared" si="1008"/>
        <v>1632</v>
      </c>
      <c r="AN440" s="11">
        <f t="shared" si="1009"/>
        <v>0</v>
      </c>
      <c r="AP440" s="11">
        <f t="shared" si="1010"/>
        <v>0</v>
      </c>
      <c r="AR440" s="11">
        <f t="shared" si="1011"/>
        <v>8703.9999999998763</v>
      </c>
    </row>
    <row r="441" spans="1:44">
      <c r="A441" s="282">
        <v>171239</v>
      </c>
      <c r="B441" s="284"/>
      <c r="D441" s="306" t="s">
        <v>353</v>
      </c>
      <c r="E441" s="282">
        <v>2016</v>
      </c>
      <c r="F441" s="284">
        <v>9</v>
      </c>
      <c r="G441" s="307">
        <v>0</v>
      </c>
      <c r="H441" s="286"/>
      <c r="I441" s="308" t="s">
        <v>86</v>
      </c>
      <c r="J441" s="284">
        <v>3</v>
      </c>
      <c r="K441" s="309">
        <f t="shared" ref="K441" si="1087">E441+J441</f>
        <v>2019</v>
      </c>
      <c r="N441" s="285">
        <v>495</v>
      </c>
      <c r="O441" s="310"/>
      <c r="P441" s="286">
        <f t="shared" ref="P441" si="1088">N441-N441*G441</f>
        <v>495</v>
      </c>
      <c r="Q441" s="286">
        <f t="shared" ref="Q441" si="1089">P441/J441/12</f>
        <v>13.75</v>
      </c>
      <c r="R441" s="286">
        <f t="shared" ref="R441" si="1090">IF(O441&gt;0,0,IF(OR(AD441&gt;AE441,AF441&lt;AG441),0,IF(AND(AF441&gt;=AG441,AF441&lt;=AE441),Q441*((AF441-AG441)*12),IF(AND(AG441&lt;=AD441,AE441&gt;=AD441),((AE441-AD441)*12)*Q441,IF(AF441&gt;AE441,12*Q441,0)))))</f>
        <v>165</v>
      </c>
      <c r="S441" s="286"/>
      <c r="T441" s="286">
        <f t="shared" ref="T441" si="1091">IF(S441&gt;0,S441,R441)</f>
        <v>165</v>
      </c>
      <c r="U441" s="286">
        <v>1</v>
      </c>
      <c r="V441" s="286">
        <f t="shared" ref="V441" si="1092">U441*SUM(R441:S441)</f>
        <v>165</v>
      </c>
      <c r="W441" s="286"/>
      <c r="X441" s="286">
        <f t="shared" ref="X441" si="1093">IF(AD441&gt;AE441,0,IF(AF441&lt;AG441,P441,IF(AND(AF441&gt;=AG441,AF441&lt;=AE441),(P441-T441),IF(AND(AG441&lt;=AD441,AE441&gt;=AD441),0,IF(AF441&gt;AE441,((AG441-AD441)*12)*Q441,0)))))</f>
        <v>54.999999999987494</v>
      </c>
      <c r="Y441" s="286">
        <f t="shared" ref="Y441" si="1094">X441*U441</f>
        <v>54.999999999987494</v>
      </c>
      <c r="Z441" s="286">
        <v>1</v>
      </c>
      <c r="AA441" s="286">
        <f t="shared" ref="AA441" si="1095">Y441*Z441</f>
        <v>54.999999999987494</v>
      </c>
      <c r="AB441" s="286">
        <f t="shared" ref="AB441" si="1096">IF(O441&gt;0,0,AA441+V441*Z441)*Z441</f>
        <v>219.99999999998749</v>
      </c>
      <c r="AC441" s="286">
        <f t="shared" ref="AC441" si="1097">IF(O441&gt;0,(N441-AA441)/2,IF(AD441&gt;=AG441,(((N441*U441)*Z441)-AB441)/2,((((N441*U441)*Z441)-AA441)+(((N441*U441)*Z441)-AB441))/2))</f>
        <v>357.50000000001251</v>
      </c>
      <c r="AD441" s="286">
        <f t="shared" si="1023"/>
        <v>2016.6666666666667</v>
      </c>
      <c r="AE441" s="286">
        <f t="shared" si="292"/>
        <v>2018</v>
      </c>
      <c r="AF441" s="286">
        <f t="shared" si="1024"/>
        <v>2019.6666666666667</v>
      </c>
      <c r="AG441" s="286">
        <f t="shared" si="293"/>
        <v>2017</v>
      </c>
      <c r="AH441" s="286">
        <f t="shared" si="1025"/>
        <v>-8.3333333333333329E-2</v>
      </c>
      <c r="AJ441" s="11">
        <f t="shared" si="1007"/>
        <v>0</v>
      </c>
      <c r="AL441" s="11">
        <f t="shared" si="1008"/>
        <v>165</v>
      </c>
      <c r="AN441" s="11">
        <f t="shared" si="1009"/>
        <v>0</v>
      </c>
      <c r="AP441" s="11">
        <f t="shared" si="1010"/>
        <v>0</v>
      </c>
      <c r="AR441" s="11">
        <f t="shared" si="1011"/>
        <v>357.50000000001251</v>
      </c>
    </row>
    <row r="442" spans="1:44">
      <c r="A442" s="282">
        <v>171697</v>
      </c>
      <c r="B442" s="284"/>
      <c r="D442" s="306" t="s">
        <v>354</v>
      </c>
      <c r="E442" s="282">
        <v>2016</v>
      </c>
      <c r="F442" s="284">
        <v>9</v>
      </c>
      <c r="G442" s="307">
        <v>0</v>
      </c>
      <c r="H442" s="286"/>
      <c r="I442" s="308" t="s">
        <v>86</v>
      </c>
      <c r="J442" s="284">
        <v>3</v>
      </c>
      <c r="K442" s="309">
        <f t="shared" ref="K442:K443" si="1098">E442+J442</f>
        <v>2019</v>
      </c>
      <c r="N442" s="285">
        <v>7381.27</v>
      </c>
      <c r="O442" s="310"/>
      <c r="P442" s="286">
        <f t="shared" ref="P442:P443" si="1099">N442-N442*G442</f>
        <v>7381.27</v>
      </c>
      <c r="Q442" s="286">
        <f t="shared" ref="Q442:Q443" si="1100">P442/J442/12</f>
        <v>205.03527777777779</v>
      </c>
      <c r="R442" s="286">
        <f t="shared" ref="R442" si="1101">IF(O442&gt;0,0,IF(OR(AD442&gt;AE442,AF442&lt;AG442),0,IF(AND(AF442&gt;=AG442,AF442&lt;=AE442),Q442*((AF442-AG442)*12),IF(AND(AG442&lt;=AD442,AE442&gt;=AD442),((AE442-AD442)*12)*Q442,IF(AF442&gt;AE442,12*Q442,0)))))</f>
        <v>2460.4233333333336</v>
      </c>
      <c r="S442" s="286"/>
      <c r="T442" s="286">
        <f t="shared" ref="T442" si="1102">IF(S442&gt;0,S442,R442)</f>
        <v>2460.4233333333336</v>
      </c>
      <c r="U442" s="286">
        <v>1</v>
      </c>
      <c r="V442" s="286">
        <f t="shared" ref="V442" si="1103">U442*SUM(R442:S442)</f>
        <v>2460.4233333333336</v>
      </c>
      <c r="W442" s="286"/>
      <c r="X442" s="286">
        <f t="shared" ref="X442" si="1104">IF(AD442&gt;AE442,0,IF(AF442&lt;AG442,P442,IF(AND(AF442&gt;=AG442,AF442&lt;=AE442),(P442-T442),IF(AND(AG442&lt;=AD442,AE442&gt;=AD442),0,IF(AF442&gt;AE442,((AG442-AD442)*12)*Q442,0)))))</f>
        <v>820.14111111092473</v>
      </c>
      <c r="Y442" s="286">
        <f t="shared" ref="Y442" si="1105">X442*U442</f>
        <v>820.14111111092473</v>
      </c>
      <c r="Z442" s="286">
        <v>1</v>
      </c>
      <c r="AA442" s="286">
        <f t="shared" ref="AA442" si="1106">Y442*Z442</f>
        <v>820.14111111092473</v>
      </c>
      <c r="AB442" s="286">
        <f t="shared" ref="AB442" si="1107">IF(O442&gt;0,0,AA442+V442*Z442)*Z442</f>
        <v>3280.5644444442582</v>
      </c>
      <c r="AC442" s="286">
        <f t="shared" ref="AC442" si="1108">IF(O442&gt;0,(N442-AA442)/2,IF(AD442&gt;=AG442,(((N442*U442)*Z442)-AB442)/2,((((N442*U442)*Z442)-AA442)+(((N442*U442)*Z442)-AB442))/2))</f>
        <v>5330.9172222224088</v>
      </c>
      <c r="AD442" s="286">
        <f t="shared" si="1023"/>
        <v>2016.6666666666667</v>
      </c>
      <c r="AE442" s="286">
        <f t="shared" si="292"/>
        <v>2018</v>
      </c>
      <c r="AF442" s="286">
        <f t="shared" si="1024"/>
        <v>2019.6666666666667</v>
      </c>
      <c r="AG442" s="286">
        <f t="shared" si="293"/>
        <v>2017</v>
      </c>
      <c r="AH442" s="286">
        <f t="shared" si="1025"/>
        <v>-8.3333333333333329E-2</v>
      </c>
      <c r="AJ442" s="11">
        <f t="shared" si="1007"/>
        <v>0</v>
      </c>
      <c r="AL442" s="11">
        <f t="shared" si="1008"/>
        <v>2460.4233333333336</v>
      </c>
      <c r="AN442" s="11">
        <f t="shared" si="1009"/>
        <v>0</v>
      </c>
      <c r="AP442" s="11">
        <f t="shared" si="1010"/>
        <v>0</v>
      </c>
      <c r="AR442" s="11">
        <f t="shared" si="1011"/>
        <v>5330.9172222224088</v>
      </c>
    </row>
    <row r="443" spans="1:44">
      <c r="A443" s="282" t="s">
        <v>384</v>
      </c>
      <c r="B443" s="284"/>
      <c r="D443" s="306" t="s">
        <v>432</v>
      </c>
      <c r="E443" s="282">
        <v>2017</v>
      </c>
      <c r="F443" s="284">
        <v>1</v>
      </c>
      <c r="G443" s="307">
        <v>0</v>
      </c>
      <c r="H443" s="286"/>
      <c r="I443" s="308" t="s">
        <v>86</v>
      </c>
      <c r="J443" s="284">
        <v>3</v>
      </c>
      <c r="K443" s="309">
        <f t="shared" si="1098"/>
        <v>2020</v>
      </c>
      <c r="N443" s="285">
        <v>15393.02</v>
      </c>
      <c r="O443" s="310"/>
      <c r="P443" s="286">
        <f t="shared" si="1099"/>
        <v>15393.02</v>
      </c>
      <c r="Q443" s="286">
        <f t="shared" si="1100"/>
        <v>427.58388888888891</v>
      </c>
      <c r="R443" s="286">
        <f t="shared" ref="R443" si="1109">IF(O443&gt;0,0,IF(OR(AD443&gt;AE443,AF443&lt;AG443),0,IF(AND(AF443&gt;=AG443,AF443&lt;=AE443),Q443*((AF443-AG443)*12),IF(AND(AG443&lt;=AD443,AE443&gt;=AD443),((AE443-AD443)*12)*Q443,IF(AF443&gt;AE443,12*Q443,0)))))</f>
        <v>5131.0066666666671</v>
      </c>
      <c r="S443" s="286"/>
      <c r="T443" s="286">
        <f t="shared" ref="T443" si="1110">IF(S443&gt;0,S443,R443)</f>
        <v>5131.0066666666671</v>
      </c>
      <c r="U443" s="286">
        <v>1</v>
      </c>
      <c r="V443" s="286">
        <f t="shared" ref="V443" si="1111">U443*SUM(R443:S443)</f>
        <v>5131.0066666666671</v>
      </c>
      <c r="W443" s="286"/>
      <c r="X443" s="286">
        <f t="shared" ref="X443" si="1112">IF(AD443&gt;AE443,0,IF(AF443&lt;AG443,P443,IF(AND(AF443&gt;=AG443,AF443&lt;=AE443),(P443-T443),IF(AND(AG443&lt;=AD443,AE443&gt;=AD443),0,IF(AF443&gt;AE443,((AG443-AD443)*12)*Q443,0)))))</f>
        <v>0</v>
      </c>
      <c r="Y443" s="286">
        <f t="shared" ref="Y443" si="1113">X443*U443</f>
        <v>0</v>
      </c>
      <c r="Z443" s="286">
        <v>1</v>
      </c>
      <c r="AA443" s="286">
        <f t="shared" ref="AA443" si="1114">Y443*Z443</f>
        <v>0</v>
      </c>
      <c r="AB443" s="286">
        <f t="shared" ref="AB443" si="1115">IF(O443&gt;0,0,AA443+V443*Z443)*Z443</f>
        <v>5131.0066666666671</v>
      </c>
      <c r="AC443" s="286">
        <f t="shared" ref="AC443" si="1116">IF(O443&gt;0,(N443-AA443)/2,IF(AD443&gt;=AG443,(((N443*U443)*Z443)-AB443)/2,((((N443*U443)*Z443)-AA443)+(((N443*U443)*Z443)-AB443))/2))</f>
        <v>5131.0066666666662</v>
      </c>
      <c r="AD443" s="286">
        <f t="shared" si="1023"/>
        <v>2017</v>
      </c>
      <c r="AE443" s="286">
        <f t="shared" si="292"/>
        <v>2018</v>
      </c>
      <c r="AF443" s="286">
        <f t="shared" si="1024"/>
        <v>2020</v>
      </c>
      <c r="AG443" s="286">
        <f t="shared" si="293"/>
        <v>2017</v>
      </c>
      <c r="AH443" s="286">
        <f t="shared" si="1025"/>
        <v>-8.3333333333333329E-2</v>
      </c>
      <c r="AJ443" s="11">
        <f t="shared" si="1007"/>
        <v>0</v>
      </c>
      <c r="AL443" s="11">
        <f t="shared" si="1008"/>
        <v>5131.0066666666671</v>
      </c>
      <c r="AN443" s="11">
        <f t="shared" si="1009"/>
        <v>0</v>
      </c>
      <c r="AP443" s="11">
        <f t="shared" si="1010"/>
        <v>0</v>
      </c>
      <c r="AR443" s="11">
        <f t="shared" si="1011"/>
        <v>5131.0066666666662</v>
      </c>
    </row>
    <row r="444" spans="1:44">
      <c r="D444" s="306"/>
      <c r="G444" s="307"/>
      <c r="H444" s="286"/>
      <c r="I444" s="308"/>
      <c r="K444" s="309"/>
      <c r="P444" s="286"/>
      <c r="Q444" s="286"/>
      <c r="R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</row>
    <row r="445" spans="1:44">
      <c r="C445" s="311"/>
      <c r="D445" s="311" t="s">
        <v>254</v>
      </c>
      <c r="E445" s="311"/>
      <c r="F445" s="291"/>
      <c r="G445" s="291"/>
      <c r="H445" s="286"/>
      <c r="I445" s="308"/>
      <c r="K445" s="309"/>
      <c r="N445" s="319">
        <f>SUM(N401:N444)</f>
        <v>320807.96000000002</v>
      </c>
      <c r="O445" s="327"/>
      <c r="P445" s="315">
        <f t="shared" ref="P445:V445" si="1117">SUM(P401:P444)</f>
        <v>290661.16810000001</v>
      </c>
      <c r="Q445" s="315">
        <f t="shared" si="1117"/>
        <v>4533.3909445238096</v>
      </c>
      <c r="R445" s="315">
        <f t="shared" si="1117"/>
        <v>26667.439239047744</v>
      </c>
      <c r="S445" s="315">
        <f t="shared" si="1117"/>
        <v>0</v>
      </c>
      <c r="T445" s="315">
        <f t="shared" si="1117"/>
        <v>26667.439239047744</v>
      </c>
      <c r="U445" s="315">
        <f t="shared" si="1117"/>
        <v>43</v>
      </c>
      <c r="V445" s="315">
        <f t="shared" si="1117"/>
        <v>26667.439239047744</v>
      </c>
      <c r="W445" s="323"/>
      <c r="X445" s="323"/>
      <c r="Y445" s="323"/>
      <c r="Z445" s="323"/>
      <c r="AA445" s="315">
        <f>SUM(AA401:AA444)</f>
        <v>204782.15862753885</v>
      </c>
      <c r="AB445" s="315">
        <f>SUM(AB401:AB444)</f>
        <v>231449.59786658661</v>
      </c>
      <c r="AC445" s="315">
        <f>SUM(AC401:AC444)</f>
        <v>94995.571752937263</v>
      </c>
      <c r="AD445" s="323"/>
      <c r="AE445" s="323"/>
      <c r="AF445" s="323"/>
      <c r="AG445" s="323"/>
      <c r="AH445" s="323"/>
      <c r="AJ445" s="7">
        <f t="shared" ref="AJ445:AR445" si="1118">SUM(AJ401:AJ444)</f>
        <v>8976.8409333332947</v>
      </c>
      <c r="AK445" s="7">
        <f t="shared" si="1118"/>
        <v>0</v>
      </c>
      <c r="AL445" s="7">
        <f t="shared" si="1118"/>
        <v>35644.280172381041</v>
      </c>
      <c r="AM445" s="7">
        <f t="shared" si="1118"/>
        <v>0</v>
      </c>
      <c r="AN445" s="7">
        <f t="shared" si="1118"/>
        <v>-20000.600000000002</v>
      </c>
      <c r="AO445" s="7">
        <f t="shared" si="1118"/>
        <v>0</v>
      </c>
      <c r="AP445" s="7">
        <f t="shared" si="1118"/>
        <v>25074.491278333662</v>
      </c>
      <c r="AQ445" s="7">
        <f t="shared" si="1118"/>
        <v>0</v>
      </c>
      <c r="AR445" s="7">
        <f t="shared" si="1118"/>
        <v>73839.984619603943</v>
      </c>
    </row>
    <row r="446" spans="1:44">
      <c r="D446" s="306"/>
      <c r="G446" s="307"/>
      <c r="H446" s="286"/>
      <c r="I446" s="308"/>
      <c r="K446" s="309"/>
      <c r="P446" s="286"/>
      <c r="Q446" s="286"/>
      <c r="R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</row>
    <row r="447" spans="1:44">
      <c r="D447" s="282" t="s">
        <v>255</v>
      </c>
      <c r="I447" s="308"/>
      <c r="K447" s="309"/>
      <c r="P447" s="286"/>
      <c r="Q447" s="286"/>
      <c r="R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</row>
    <row r="448" spans="1:44">
      <c r="D448" s="329" t="s">
        <v>256</v>
      </c>
      <c r="E448" s="282">
        <v>1985</v>
      </c>
      <c r="F448" s="284">
        <v>10</v>
      </c>
      <c r="G448" s="307">
        <v>0</v>
      </c>
      <c r="H448" s="284"/>
      <c r="I448" s="308" t="s">
        <v>86</v>
      </c>
      <c r="J448" s="284">
        <v>10</v>
      </c>
      <c r="K448" s="309">
        <f t="shared" ref="K448:K474" si="1119">E448+J448</f>
        <v>1995</v>
      </c>
      <c r="N448" s="285">
        <v>561</v>
      </c>
      <c r="P448" s="286">
        <f t="shared" ref="P448:P474" si="1120">N448-N448*G448</f>
        <v>561</v>
      </c>
      <c r="Q448" s="286">
        <f t="shared" ref="Q448:Q474" si="1121">P448/J448/12</f>
        <v>4.6749999999999998</v>
      </c>
      <c r="R448" s="286">
        <f t="shared" ref="R448:R472" si="1122">IF(O448&gt;0,0,IF(OR(AD448&gt;AE448,AF448&lt;AG448),0,IF(AND(AF448&gt;=AG448,AF448&lt;=AE448),Q448*((AF448-AG448)*12),IF(AND(AG448&lt;=AD448,AE448&gt;=AD448),((AE448-AD448)*12)*Q448,IF(AF448&gt;AE448,12*Q448,0)))))</f>
        <v>0</v>
      </c>
      <c r="T448" s="286">
        <f t="shared" ref="T448:T471" si="1123">IF(S448&gt;0,S448,R448)</f>
        <v>0</v>
      </c>
      <c r="U448" s="286">
        <v>1</v>
      </c>
      <c r="V448" s="286">
        <f t="shared" ref="V448:V471" si="1124">U448*SUM(R448:S448)</f>
        <v>0</v>
      </c>
      <c r="W448" s="286"/>
      <c r="X448" s="286">
        <f t="shared" ref="X448:X471" si="1125">IF(AD448&gt;AE448,0,IF(AF448&lt;AG448,P448,IF(AND(AF448&gt;=AG448,AF448&lt;=AE448),(P448-T448),IF(AND(AG448&lt;=AD448,AE448&gt;=AD448),0,IF(AF448&gt;AE448,((AG448-AD448)*12)*Q448,0)))))</f>
        <v>561</v>
      </c>
      <c r="Y448" s="286">
        <f t="shared" ref="Y448:Y471" si="1126">X448*U448</f>
        <v>561</v>
      </c>
      <c r="Z448" s="286">
        <v>1</v>
      </c>
      <c r="AA448" s="286">
        <f t="shared" ref="AA448:AA471" si="1127">Y448*Z448</f>
        <v>561</v>
      </c>
      <c r="AB448" s="286">
        <f t="shared" ref="AB448:AB471" si="1128">IF(O448&gt;0,0,AA448+V448*Z448)*Z448</f>
        <v>561</v>
      </c>
      <c r="AC448" s="286">
        <f t="shared" ref="AC448:AC471" si="1129">IF(O448&gt;0,(N448-AA448)/2,IF(AD448&gt;=AG448,(((N448*U448)*Z448)-AB448)/2,((((N448*U448)*Z448)-AA448)+(((N448*U448)*Z448)-AB448))/2))</f>
        <v>0</v>
      </c>
      <c r="AD448" s="286">
        <f t="shared" ref="AD448:AD480" si="1130">$E448+(($F448-1)/12)</f>
        <v>1985.75</v>
      </c>
      <c r="AE448" s="286">
        <f t="shared" ref="AE448:AE480" si="1131">($P$5+1)-($P$2/12)</f>
        <v>2018</v>
      </c>
      <c r="AF448" s="286">
        <f t="shared" ref="AF448:AF480" si="1132">$K448+(($F448-1)/12)</f>
        <v>1995.75</v>
      </c>
      <c r="AG448" s="286">
        <f t="shared" ref="AG448:AG480" si="1133">$P$4+($P$3/12)</f>
        <v>2017</v>
      </c>
      <c r="AH448" s="286">
        <f t="shared" ref="AH448:AH480" si="1134">$L448+(($M448-1)/12)</f>
        <v>-8.3333333333333329E-2</v>
      </c>
      <c r="AJ448" s="11">
        <f t="shared" ref="AJ448:AJ480" si="1135">+IF((AF448-AG448)&gt;3,((N448-P448)/(AF448-AG448)),(N448-P448)/3)</f>
        <v>0</v>
      </c>
      <c r="AL448" s="11">
        <f t="shared" ref="AL448:AL480" si="1136">+AJ448+R448</f>
        <v>0</v>
      </c>
      <c r="AN448" s="11">
        <f t="shared" ref="AN448:AN480" si="1137">+IF(AF448&lt;AG448,-AC448,0)</f>
        <v>0</v>
      </c>
      <c r="AP448" s="11">
        <f t="shared" ref="AP448:AP480" si="1138">+IF(AF448&gt;AG448,IF(AJ448&gt;0,IF(O448&gt;0,(N448-AA448)/2,IF(AD448&gt;=AG448,(((N448*U448)*Z448)-(AB448+AJ448))/2,((((N448*U448)*Z448)-AA448)+(((N448*U448)*Z448)-(AB448+AJ448)))/2)),0),0)</f>
        <v>0</v>
      </c>
      <c r="AR448" s="11">
        <f t="shared" ref="AR448:AR480" si="1139">+AC448+AN448+(IF(AP448&gt;0,(AP448-AC448),0))</f>
        <v>0</v>
      </c>
    </row>
    <row r="449" spans="4:44">
      <c r="D449" s="282" t="s">
        <v>257</v>
      </c>
      <c r="E449" s="282">
        <v>1986</v>
      </c>
      <c r="F449" s="284">
        <v>1</v>
      </c>
      <c r="G449" s="307">
        <v>0</v>
      </c>
      <c r="H449" s="284"/>
      <c r="I449" s="308" t="s">
        <v>86</v>
      </c>
      <c r="J449" s="284">
        <v>5</v>
      </c>
      <c r="K449" s="309">
        <f t="shared" si="1119"/>
        <v>1991</v>
      </c>
      <c r="N449" s="285">
        <v>335</v>
      </c>
      <c r="P449" s="286">
        <f t="shared" si="1120"/>
        <v>335</v>
      </c>
      <c r="Q449" s="286">
        <f t="shared" si="1121"/>
        <v>5.583333333333333</v>
      </c>
      <c r="R449" s="286">
        <f t="shared" si="1122"/>
        <v>0</v>
      </c>
      <c r="T449" s="286">
        <f t="shared" si="1123"/>
        <v>0</v>
      </c>
      <c r="U449" s="286">
        <v>1</v>
      </c>
      <c r="V449" s="286">
        <f t="shared" si="1124"/>
        <v>0</v>
      </c>
      <c r="W449" s="286"/>
      <c r="X449" s="286">
        <f t="shared" si="1125"/>
        <v>335</v>
      </c>
      <c r="Y449" s="286">
        <f t="shared" si="1126"/>
        <v>335</v>
      </c>
      <c r="Z449" s="286">
        <v>1</v>
      </c>
      <c r="AA449" s="286">
        <f t="shared" si="1127"/>
        <v>335</v>
      </c>
      <c r="AB449" s="286">
        <f t="shared" si="1128"/>
        <v>335</v>
      </c>
      <c r="AC449" s="286">
        <f t="shared" si="1129"/>
        <v>0</v>
      </c>
      <c r="AD449" s="286">
        <f t="shared" si="1130"/>
        <v>1986</v>
      </c>
      <c r="AE449" s="286">
        <f t="shared" si="1131"/>
        <v>2018</v>
      </c>
      <c r="AF449" s="286">
        <f t="shared" si="1132"/>
        <v>1991</v>
      </c>
      <c r="AG449" s="286">
        <f t="shared" si="1133"/>
        <v>2017</v>
      </c>
      <c r="AH449" s="286">
        <f t="shared" si="1134"/>
        <v>-8.3333333333333329E-2</v>
      </c>
      <c r="AJ449" s="11">
        <f t="shared" si="1135"/>
        <v>0</v>
      </c>
      <c r="AL449" s="11">
        <f t="shared" si="1136"/>
        <v>0</v>
      </c>
      <c r="AN449" s="11">
        <f t="shared" si="1137"/>
        <v>0</v>
      </c>
      <c r="AP449" s="11">
        <f t="shared" si="1138"/>
        <v>0</v>
      </c>
      <c r="AR449" s="11">
        <f t="shared" si="1139"/>
        <v>0</v>
      </c>
    </row>
    <row r="450" spans="4:44">
      <c r="D450" s="282" t="s">
        <v>258</v>
      </c>
      <c r="E450" s="282">
        <v>1986</v>
      </c>
      <c r="F450" s="284">
        <v>3</v>
      </c>
      <c r="G450" s="307">
        <v>0</v>
      </c>
      <c r="H450" s="284"/>
      <c r="I450" s="308" t="s">
        <v>86</v>
      </c>
      <c r="J450" s="284">
        <v>5</v>
      </c>
      <c r="K450" s="309">
        <f t="shared" si="1119"/>
        <v>1991</v>
      </c>
      <c r="N450" s="285">
        <v>2692</v>
      </c>
      <c r="P450" s="286">
        <f t="shared" si="1120"/>
        <v>2692</v>
      </c>
      <c r="Q450" s="286">
        <f t="shared" si="1121"/>
        <v>44.866666666666667</v>
      </c>
      <c r="R450" s="286">
        <f t="shared" si="1122"/>
        <v>0</v>
      </c>
      <c r="T450" s="286">
        <f t="shared" si="1123"/>
        <v>0</v>
      </c>
      <c r="U450" s="286">
        <v>1</v>
      </c>
      <c r="V450" s="286">
        <f t="shared" si="1124"/>
        <v>0</v>
      </c>
      <c r="W450" s="286"/>
      <c r="X450" s="286">
        <f t="shared" si="1125"/>
        <v>2692</v>
      </c>
      <c r="Y450" s="286">
        <f t="shared" si="1126"/>
        <v>2692</v>
      </c>
      <c r="Z450" s="286">
        <v>1</v>
      </c>
      <c r="AA450" s="286">
        <f t="shared" si="1127"/>
        <v>2692</v>
      </c>
      <c r="AB450" s="286">
        <f t="shared" si="1128"/>
        <v>2692</v>
      </c>
      <c r="AC450" s="286">
        <f t="shared" si="1129"/>
        <v>0</v>
      </c>
      <c r="AD450" s="286">
        <f t="shared" si="1130"/>
        <v>1986.1666666666667</v>
      </c>
      <c r="AE450" s="286">
        <f t="shared" si="1131"/>
        <v>2018</v>
      </c>
      <c r="AF450" s="286">
        <f t="shared" si="1132"/>
        <v>1991.1666666666667</v>
      </c>
      <c r="AG450" s="286">
        <f t="shared" si="1133"/>
        <v>2017</v>
      </c>
      <c r="AH450" s="286">
        <f t="shared" si="1134"/>
        <v>-8.3333333333333329E-2</v>
      </c>
      <c r="AJ450" s="11">
        <f t="shared" si="1135"/>
        <v>0</v>
      </c>
      <c r="AL450" s="11">
        <f t="shared" si="1136"/>
        <v>0</v>
      </c>
      <c r="AN450" s="11">
        <f t="shared" si="1137"/>
        <v>0</v>
      </c>
      <c r="AP450" s="11">
        <f t="shared" si="1138"/>
        <v>0</v>
      </c>
      <c r="AR450" s="11">
        <f t="shared" si="1139"/>
        <v>0</v>
      </c>
    </row>
    <row r="451" spans="4:44">
      <c r="D451" s="282" t="s">
        <v>259</v>
      </c>
      <c r="E451" s="282">
        <v>1987</v>
      </c>
      <c r="F451" s="284">
        <v>7</v>
      </c>
      <c r="G451" s="307">
        <v>0</v>
      </c>
      <c r="H451" s="284"/>
      <c r="I451" s="308" t="s">
        <v>86</v>
      </c>
      <c r="J451" s="284">
        <v>5</v>
      </c>
      <c r="K451" s="309">
        <f t="shared" si="1119"/>
        <v>1992</v>
      </c>
      <c r="N451" s="285">
        <v>413</v>
      </c>
      <c r="P451" s="286">
        <f t="shared" si="1120"/>
        <v>413</v>
      </c>
      <c r="Q451" s="286">
        <f t="shared" si="1121"/>
        <v>6.8833333333333329</v>
      </c>
      <c r="R451" s="286">
        <f t="shared" si="1122"/>
        <v>0</v>
      </c>
      <c r="T451" s="286">
        <f t="shared" si="1123"/>
        <v>0</v>
      </c>
      <c r="U451" s="286">
        <v>1</v>
      </c>
      <c r="V451" s="286">
        <f t="shared" si="1124"/>
        <v>0</v>
      </c>
      <c r="W451" s="286"/>
      <c r="X451" s="286">
        <f t="shared" si="1125"/>
        <v>413</v>
      </c>
      <c r="Y451" s="286">
        <f t="shared" si="1126"/>
        <v>413</v>
      </c>
      <c r="Z451" s="286">
        <v>1</v>
      </c>
      <c r="AA451" s="286">
        <f t="shared" si="1127"/>
        <v>413</v>
      </c>
      <c r="AB451" s="286">
        <f t="shared" si="1128"/>
        <v>413</v>
      </c>
      <c r="AC451" s="286">
        <f t="shared" si="1129"/>
        <v>0</v>
      </c>
      <c r="AD451" s="286">
        <f t="shared" si="1130"/>
        <v>1987.5</v>
      </c>
      <c r="AE451" s="286">
        <f t="shared" si="1131"/>
        <v>2018</v>
      </c>
      <c r="AF451" s="286">
        <f t="shared" si="1132"/>
        <v>1992.5</v>
      </c>
      <c r="AG451" s="286">
        <f t="shared" si="1133"/>
        <v>2017</v>
      </c>
      <c r="AH451" s="286">
        <f t="shared" si="1134"/>
        <v>-8.3333333333333329E-2</v>
      </c>
      <c r="AJ451" s="11">
        <f t="shared" si="1135"/>
        <v>0</v>
      </c>
      <c r="AL451" s="11">
        <f t="shared" si="1136"/>
        <v>0</v>
      </c>
      <c r="AN451" s="11">
        <f t="shared" si="1137"/>
        <v>0</v>
      </c>
      <c r="AP451" s="11">
        <f t="shared" si="1138"/>
        <v>0</v>
      </c>
      <c r="AR451" s="11">
        <f t="shared" si="1139"/>
        <v>0</v>
      </c>
    </row>
    <row r="452" spans="4:44">
      <c r="D452" s="282" t="s">
        <v>260</v>
      </c>
      <c r="E452" s="282">
        <v>1988</v>
      </c>
      <c r="F452" s="284">
        <v>7</v>
      </c>
      <c r="G452" s="307">
        <v>0</v>
      </c>
      <c r="H452" s="284"/>
      <c r="I452" s="308" t="s">
        <v>86</v>
      </c>
      <c r="J452" s="284">
        <v>5</v>
      </c>
      <c r="K452" s="309">
        <f t="shared" si="1119"/>
        <v>1993</v>
      </c>
      <c r="N452" s="285">
        <v>1400</v>
      </c>
      <c r="P452" s="286">
        <f t="shared" si="1120"/>
        <v>1400</v>
      </c>
      <c r="Q452" s="286">
        <f t="shared" si="1121"/>
        <v>23.333333333333332</v>
      </c>
      <c r="R452" s="286">
        <f t="shared" si="1122"/>
        <v>0</v>
      </c>
      <c r="T452" s="286">
        <f t="shared" si="1123"/>
        <v>0</v>
      </c>
      <c r="U452" s="286">
        <v>1</v>
      </c>
      <c r="V452" s="286">
        <f t="shared" si="1124"/>
        <v>0</v>
      </c>
      <c r="W452" s="286"/>
      <c r="X452" s="286">
        <f t="shared" si="1125"/>
        <v>1400</v>
      </c>
      <c r="Y452" s="286">
        <f t="shared" si="1126"/>
        <v>1400</v>
      </c>
      <c r="Z452" s="286">
        <v>1</v>
      </c>
      <c r="AA452" s="286">
        <f t="shared" si="1127"/>
        <v>1400</v>
      </c>
      <c r="AB452" s="286">
        <f t="shared" si="1128"/>
        <v>1400</v>
      </c>
      <c r="AC452" s="286">
        <f t="shared" si="1129"/>
        <v>0</v>
      </c>
      <c r="AD452" s="286">
        <f t="shared" si="1130"/>
        <v>1988.5</v>
      </c>
      <c r="AE452" s="286">
        <f t="shared" si="1131"/>
        <v>2018</v>
      </c>
      <c r="AF452" s="286">
        <f t="shared" si="1132"/>
        <v>1993.5</v>
      </c>
      <c r="AG452" s="286">
        <f t="shared" si="1133"/>
        <v>2017</v>
      </c>
      <c r="AH452" s="286">
        <f t="shared" si="1134"/>
        <v>-8.3333333333333329E-2</v>
      </c>
      <c r="AJ452" s="11">
        <f t="shared" si="1135"/>
        <v>0</v>
      </c>
      <c r="AL452" s="11">
        <f t="shared" si="1136"/>
        <v>0</v>
      </c>
      <c r="AN452" s="11">
        <f t="shared" si="1137"/>
        <v>0</v>
      </c>
      <c r="AP452" s="11">
        <f t="shared" si="1138"/>
        <v>0</v>
      </c>
      <c r="AR452" s="11">
        <f t="shared" si="1139"/>
        <v>0</v>
      </c>
    </row>
    <row r="453" spans="4:44">
      <c r="D453" s="282" t="s">
        <v>261</v>
      </c>
      <c r="E453" s="282">
        <v>1991</v>
      </c>
      <c r="F453" s="284">
        <v>12</v>
      </c>
      <c r="G453" s="307">
        <v>0</v>
      </c>
      <c r="H453" s="284"/>
      <c r="I453" s="308" t="s">
        <v>86</v>
      </c>
      <c r="J453" s="284">
        <v>5</v>
      </c>
      <c r="K453" s="309">
        <f t="shared" si="1119"/>
        <v>1996</v>
      </c>
      <c r="N453" s="285">
        <v>5355</v>
      </c>
      <c r="P453" s="286">
        <f t="shared" si="1120"/>
        <v>5355</v>
      </c>
      <c r="Q453" s="286">
        <f t="shared" si="1121"/>
        <v>89.25</v>
      </c>
      <c r="R453" s="286">
        <f t="shared" si="1122"/>
        <v>0</v>
      </c>
      <c r="T453" s="286">
        <f t="shared" si="1123"/>
        <v>0</v>
      </c>
      <c r="U453" s="286">
        <v>1</v>
      </c>
      <c r="V453" s="286">
        <f t="shared" si="1124"/>
        <v>0</v>
      </c>
      <c r="W453" s="286"/>
      <c r="X453" s="286">
        <f t="shared" si="1125"/>
        <v>5355</v>
      </c>
      <c r="Y453" s="286">
        <f t="shared" si="1126"/>
        <v>5355</v>
      </c>
      <c r="Z453" s="286">
        <v>1</v>
      </c>
      <c r="AA453" s="286">
        <f t="shared" si="1127"/>
        <v>5355</v>
      </c>
      <c r="AB453" s="286">
        <f t="shared" si="1128"/>
        <v>5355</v>
      </c>
      <c r="AC453" s="286">
        <f t="shared" si="1129"/>
        <v>0</v>
      </c>
      <c r="AD453" s="286">
        <f t="shared" si="1130"/>
        <v>1991.9166666666667</v>
      </c>
      <c r="AE453" s="286">
        <f t="shared" si="1131"/>
        <v>2018</v>
      </c>
      <c r="AF453" s="286">
        <f t="shared" si="1132"/>
        <v>1996.9166666666667</v>
      </c>
      <c r="AG453" s="286">
        <f t="shared" si="1133"/>
        <v>2017</v>
      </c>
      <c r="AH453" s="286">
        <f t="shared" si="1134"/>
        <v>-8.3333333333333329E-2</v>
      </c>
      <c r="AJ453" s="11">
        <f t="shared" si="1135"/>
        <v>0</v>
      </c>
      <c r="AL453" s="11">
        <f t="shared" si="1136"/>
        <v>0</v>
      </c>
      <c r="AN453" s="11">
        <f t="shared" si="1137"/>
        <v>0</v>
      </c>
      <c r="AP453" s="11">
        <f t="shared" si="1138"/>
        <v>0</v>
      </c>
      <c r="AR453" s="11">
        <f t="shared" si="1139"/>
        <v>0</v>
      </c>
    </row>
    <row r="454" spans="4:44">
      <c r="D454" s="282" t="s">
        <v>262</v>
      </c>
      <c r="E454" s="282">
        <v>1996</v>
      </c>
      <c r="F454" s="284">
        <v>2</v>
      </c>
      <c r="G454" s="307">
        <v>0</v>
      </c>
      <c r="H454" s="284"/>
      <c r="I454" s="308" t="s">
        <v>86</v>
      </c>
      <c r="J454" s="284">
        <v>5</v>
      </c>
      <c r="K454" s="309">
        <f t="shared" si="1119"/>
        <v>2001</v>
      </c>
      <c r="N454" s="285">
        <v>2223</v>
      </c>
      <c r="P454" s="286">
        <f t="shared" si="1120"/>
        <v>2223</v>
      </c>
      <c r="Q454" s="286">
        <f t="shared" si="1121"/>
        <v>37.050000000000004</v>
      </c>
      <c r="R454" s="286">
        <f t="shared" si="1122"/>
        <v>0</v>
      </c>
      <c r="T454" s="286">
        <f t="shared" si="1123"/>
        <v>0</v>
      </c>
      <c r="U454" s="286">
        <v>1</v>
      </c>
      <c r="V454" s="286">
        <f t="shared" si="1124"/>
        <v>0</v>
      </c>
      <c r="W454" s="286"/>
      <c r="X454" s="286">
        <f t="shared" si="1125"/>
        <v>2223</v>
      </c>
      <c r="Y454" s="286">
        <f t="shared" si="1126"/>
        <v>2223</v>
      </c>
      <c r="Z454" s="286">
        <v>1</v>
      </c>
      <c r="AA454" s="286">
        <f t="shared" si="1127"/>
        <v>2223</v>
      </c>
      <c r="AB454" s="286">
        <f t="shared" si="1128"/>
        <v>2223</v>
      </c>
      <c r="AC454" s="286">
        <f t="shared" si="1129"/>
        <v>0</v>
      </c>
      <c r="AD454" s="286">
        <f t="shared" si="1130"/>
        <v>1996.0833333333333</v>
      </c>
      <c r="AE454" s="286">
        <f t="shared" si="1131"/>
        <v>2018</v>
      </c>
      <c r="AF454" s="286">
        <f t="shared" si="1132"/>
        <v>2001.0833333333333</v>
      </c>
      <c r="AG454" s="286">
        <f t="shared" si="1133"/>
        <v>2017</v>
      </c>
      <c r="AH454" s="286">
        <f t="shared" si="1134"/>
        <v>-8.3333333333333329E-2</v>
      </c>
      <c r="AJ454" s="11">
        <f t="shared" si="1135"/>
        <v>0</v>
      </c>
      <c r="AL454" s="11">
        <f t="shared" si="1136"/>
        <v>0</v>
      </c>
      <c r="AN454" s="11">
        <f t="shared" si="1137"/>
        <v>0</v>
      </c>
      <c r="AP454" s="11">
        <f t="shared" si="1138"/>
        <v>0</v>
      </c>
      <c r="AR454" s="11">
        <f t="shared" si="1139"/>
        <v>0</v>
      </c>
    </row>
    <row r="455" spans="4:44">
      <c r="D455" s="282" t="s">
        <v>263</v>
      </c>
      <c r="E455" s="282">
        <v>1996</v>
      </c>
      <c r="F455" s="284">
        <v>11</v>
      </c>
      <c r="G455" s="307">
        <v>0</v>
      </c>
      <c r="H455" s="284"/>
      <c r="I455" s="308" t="s">
        <v>86</v>
      </c>
      <c r="J455" s="284">
        <v>5</v>
      </c>
      <c r="K455" s="309">
        <f t="shared" si="1119"/>
        <v>2001</v>
      </c>
      <c r="N455" s="285">
        <v>5307</v>
      </c>
      <c r="P455" s="286">
        <f t="shared" si="1120"/>
        <v>5307</v>
      </c>
      <c r="Q455" s="286">
        <f t="shared" si="1121"/>
        <v>88.45</v>
      </c>
      <c r="R455" s="286">
        <f t="shared" si="1122"/>
        <v>0</v>
      </c>
      <c r="T455" s="286">
        <f t="shared" si="1123"/>
        <v>0</v>
      </c>
      <c r="U455" s="286">
        <v>1</v>
      </c>
      <c r="V455" s="286">
        <f t="shared" si="1124"/>
        <v>0</v>
      </c>
      <c r="W455" s="286"/>
      <c r="X455" s="286">
        <f t="shared" si="1125"/>
        <v>5307</v>
      </c>
      <c r="Y455" s="286">
        <f t="shared" si="1126"/>
        <v>5307</v>
      </c>
      <c r="Z455" s="286">
        <v>1</v>
      </c>
      <c r="AA455" s="286">
        <f t="shared" si="1127"/>
        <v>5307</v>
      </c>
      <c r="AB455" s="286">
        <f t="shared" si="1128"/>
        <v>5307</v>
      </c>
      <c r="AC455" s="286">
        <f t="shared" si="1129"/>
        <v>0</v>
      </c>
      <c r="AD455" s="286">
        <f t="shared" si="1130"/>
        <v>1996.8333333333333</v>
      </c>
      <c r="AE455" s="286">
        <f t="shared" si="1131"/>
        <v>2018</v>
      </c>
      <c r="AF455" s="286">
        <f t="shared" si="1132"/>
        <v>2001.8333333333333</v>
      </c>
      <c r="AG455" s="286">
        <f t="shared" si="1133"/>
        <v>2017</v>
      </c>
      <c r="AH455" s="286">
        <f t="shared" si="1134"/>
        <v>-8.3333333333333329E-2</v>
      </c>
      <c r="AJ455" s="11">
        <f t="shared" si="1135"/>
        <v>0</v>
      </c>
      <c r="AL455" s="11">
        <f t="shared" si="1136"/>
        <v>0</v>
      </c>
      <c r="AN455" s="11">
        <f t="shared" si="1137"/>
        <v>0</v>
      </c>
      <c r="AP455" s="11">
        <f t="shared" si="1138"/>
        <v>0</v>
      </c>
      <c r="AR455" s="11">
        <f t="shared" si="1139"/>
        <v>0</v>
      </c>
    </row>
    <row r="456" spans="4:44">
      <c r="D456" s="318" t="s">
        <v>264</v>
      </c>
      <c r="E456" s="282">
        <v>1998</v>
      </c>
      <c r="F456" s="284">
        <v>8</v>
      </c>
      <c r="G456" s="307">
        <v>0</v>
      </c>
      <c r="H456" s="284"/>
      <c r="I456" s="308" t="s">
        <v>86</v>
      </c>
      <c r="J456" s="284">
        <v>5</v>
      </c>
      <c r="K456" s="309">
        <f t="shared" si="1119"/>
        <v>2003</v>
      </c>
      <c r="N456" s="285">
        <v>4673</v>
      </c>
      <c r="P456" s="286">
        <f t="shared" si="1120"/>
        <v>4673</v>
      </c>
      <c r="Q456" s="286">
        <f t="shared" si="1121"/>
        <v>77.88333333333334</v>
      </c>
      <c r="R456" s="286">
        <f t="shared" si="1122"/>
        <v>0</v>
      </c>
      <c r="T456" s="286">
        <f t="shared" si="1123"/>
        <v>0</v>
      </c>
      <c r="U456" s="286">
        <v>1</v>
      </c>
      <c r="V456" s="286">
        <f t="shared" si="1124"/>
        <v>0</v>
      </c>
      <c r="W456" s="286"/>
      <c r="X456" s="286">
        <f t="shared" si="1125"/>
        <v>4673</v>
      </c>
      <c r="Y456" s="286">
        <f t="shared" si="1126"/>
        <v>4673</v>
      </c>
      <c r="Z456" s="286">
        <v>1</v>
      </c>
      <c r="AA456" s="286">
        <f t="shared" si="1127"/>
        <v>4673</v>
      </c>
      <c r="AB456" s="286">
        <f t="shared" si="1128"/>
        <v>4673</v>
      </c>
      <c r="AC456" s="286">
        <f t="shared" si="1129"/>
        <v>0</v>
      </c>
      <c r="AD456" s="286">
        <f t="shared" si="1130"/>
        <v>1998.5833333333333</v>
      </c>
      <c r="AE456" s="286">
        <f t="shared" si="1131"/>
        <v>2018</v>
      </c>
      <c r="AF456" s="286">
        <f t="shared" si="1132"/>
        <v>2003.5833333333333</v>
      </c>
      <c r="AG456" s="286">
        <f t="shared" si="1133"/>
        <v>2017</v>
      </c>
      <c r="AH456" s="286">
        <f t="shared" si="1134"/>
        <v>-8.3333333333333329E-2</v>
      </c>
      <c r="AJ456" s="11">
        <f t="shared" si="1135"/>
        <v>0</v>
      </c>
      <c r="AL456" s="11">
        <f t="shared" si="1136"/>
        <v>0</v>
      </c>
      <c r="AN456" s="11">
        <f t="shared" si="1137"/>
        <v>0</v>
      </c>
      <c r="AP456" s="11">
        <f t="shared" si="1138"/>
        <v>0</v>
      </c>
      <c r="AR456" s="11">
        <f t="shared" si="1139"/>
        <v>0</v>
      </c>
    </row>
    <row r="457" spans="4:44">
      <c r="D457" s="282" t="s">
        <v>265</v>
      </c>
      <c r="E457" s="282">
        <v>1999</v>
      </c>
      <c r="F457" s="284">
        <v>1</v>
      </c>
      <c r="G457" s="307">
        <v>0</v>
      </c>
      <c r="H457" s="284"/>
      <c r="I457" s="308" t="s">
        <v>86</v>
      </c>
      <c r="J457" s="284">
        <v>5</v>
      </c>
      <c r="K457" s="309">
        <f t="shared" si="1119"/>
        <v>2004</v>
      </c>
      <c r="N457" s="285">
        <v>2389</v>
      </c>
      <c r="P457" s="286">
        <f t="shared" si="1120"/>
        <v>2389</v>
      </c>
      <c r="Q457" s="286">
        <f t="shared" si="1121"/>
        <v>39.81666666666667</v>
      </c>
      <c r="R457" s="286">
        <f t="shared" si="1122"/>
        <v>0</v>
      </c>
      <c r="T457" s="286">
        <f t="shared" si="1123"/>
        <v>0</v>
      </c>
      <c r="U457" s="286">
        <v>1</v>
      </c>
      <c r="V457" s="286">
        <f t="shared" si="1124"/>
        <v>0</v>
      </c>
      <c r="W457" s="286"/>
      <c r="X457" s="286">
        <f t="shared" si="1125"/>
        <v>2389</v>
      </c>
      <c r="Y457" s="286">
        <f t="shared" si="1126"/>
        <v>2389</v>
      </c>
      <c r="Z457" s="286">
        <v>1</v>
      </c>
      <c r="AA457" s="286">
        <f t="shared" si="1127"/>
        <v>2389</v>
      </c>
      <c r="AB457" s="286">
        <f t="shared" si="1128"/>
        <v>2389</v>
      </c>
      <c r="AC457" s="286">
        <f t="shared" si="1129"/>
        <v>0</v>
      </c>
      <c r="AD457" s="286">
        <f t="shared" si="1130"/>
        <v>1999</v>
      </c>
      <c r="AE457" s="286">
        <f t="shared" si="1131"/>
        <v>2018</v>
      </c>
      <c r="AF457" s="286">
        <f t="shared" si="1132"/>
        <v>2004</v>
      </c>
      <c r="AG457" s="286">
        <f t="shared" si="1133"/>
        <v>2017</v>
      </c>
      <c r="AH457" s="286">
        <f t="shared" si="1134"/>
        <v>-8.3333333333333329E-2</v>
      </c>
      <c r="AJ457" s="11">
        <f t="shared" si="1135"/>
        <v>0</v>
      </c>
      <c r="AL457" s="11">
        <f t="shared" si="1136"/>
        <v>0</v>
      </c>
      <c r="AN457" s="11">
        <f t="shared" si="1137"/>
        <v>0</v>
      </c>
      <c r="AP457" s="11">
        <f t="shared" si="1138"/>
        <v>0</v>
      </c>
      <c r="AR457" s="11">
        <f t="shared" si="1139"/>
        <v>0</v>
      </c>
    </row>
    <row r="458" spans="4:44">
      <c r="D458" s="282" t="s">
        <v>258</v>
      </c>
      <c r="E458" s="282">
        <v>2000</v>
      </c>
      <c r="F458" s="284">
        <v>3</v>
      </c>
      <c r="G458" s="307">
        <v>0</v>
      </c>
      <c r="H458" s="284"/>
      <c r="I458" s="308" t="s">
        <v>86</v>
      </c>
      <c r="J458" s="284">
        <v>5</v>
      </c>
      <c r="K458" s="309">
        <f t="shared" si="1119"/>
        <v>2005</v>
      </c>
      <c r="N458" s="285">
        <v>2580</v>
      </c>
      <c r="P458" s="286">
        <f t="shared" si="1120"/>
        <v>2580</v>
      </c>
      <c r="Q458" s="286">
        <f t="shared" si="1121"/>
        <v>43</v>
      </c>
      <c r="R458" s="286">
        <f t="shared" si="1122"/>
        <v>0</v>
      </c>
      <c r="T458" s="286">
        <f t="shared" si="1123"/>
        <v>0</v>
      </c>
      <c r="U458" s="286">
        <v>1</v>
      </c>
      <c r="V458" s="286">
        <f t="shared" si="1124"/>
        <v>0</v>
      </c>
      <c r="W458" s="286"/>
      <c r="X458" s="286">
        <f t="shared" si="1125"/>
        <v>2580</v>
      </c>
      <c r="Y458" s="286">
        <f t="shared" si="1126"/>
        <v>2580</v>
      </c>
      <c r="Z458" s="286">
        <v>1</v>
      </c>
      <c r="AA458" s="286">
        <f t="shared" si="1127"/>
        <v>2580</v>
      </c>
      <c r="AB458" s="286">
        <f t="shared" si="1128"/>
        <v>2580</v>
      </c>
      <c r="AC458" s="286">
        <f t="shared" si="1129"/>
        <v>0</v>
      </c>
      <c r="AD458" s="286">
        <f t="shared" si="1130"/>
        <v>2000.1666666666667</v>
      </c>
      <c r="AE458" s="286">
        <f t="shared" si="1131"/>
        <v>2018</v>
      </c>
      <c r="AF458" s="286">
        <f t="shared" si="1132"/>
        <v>2005.1666666666667</v>
      </c>
      <c r="AG458" s="286">
        <f t="shared" si="1133"/>
        <v>2017</v>
      </c>
      <c r="AH458" s="286">
        <f t="shared" si="1134"/>
        <v>-8.3333333333333329E-2</v>
      </c>
      <c r="AJ458" s="11">
        <f t="shared" si="1135"/>
        <v>0</v>
      </c>
      <c r="AL458" s="11">
        <f t="shared" si="1136"/>
        <v>0</v>
      </c>
      <c r="AN458" s="11">
        <f t="shared" si="1137"/>
        <v>0</v>
      </c>
      <c r="AP458" s="11">
        <f t="shared" si="1138"/>
        <v>0</v>
      </c>
      <c r="AR458" s="11">
        <f t="shared" si="1139"/>
        <v>0</v>
      </c>
    </row>
    <row r="459" spans="4:44">
      <c r="D459" s="282" t="s">
        <v>266</v>
      </c>
      <c r="E459" s="282">
        <v>2000</v>
      </c>
      <c r="F459" s="284">
        <v>7</v>
      </c>
      <c r="G459" s="307">
        <v>0</v>
      </c>
      <c r="H459" s="284"/>
      <c r="I459" s="308" t="s">
        <v>86</v>
      </c>
      <c r="J459" s="284">
        <v>5</v>
      </c>
      <c r="K459" s="309">
        <f t="shared" si="1119"/>
        <v>2005</v>
      </c>
      <c r="N459" s="285">
        <v>4752</v>
      </c>
      <c r="P459" s="286">
        <f t="shared" si="1120"/>
        <v>4752</v>
      </c>
      <c r="Q459" s="286">
        <f t="shared" si="1121"/>
        <v>79.2</v>
      </c>
      <c r="R459" s="286">
        <f t="shared" si="1122"/>
        <v>0</v>
      </c>
      <c r="T459" s="286">
        <f t="shared" si="1123"/>
        <v>0</v>
      </c>
      <c r="U459" s="286">
        <v>1</v>
      </c>
      <c r="V459" s="286">
        <f t="shared" si="1124"/>
        <v>0</v>
      </c>
      <c r="W459" s="286"/>
      <c r="X459" s="286">
        <f t="shared" si="1125"/>
        <v>4752</v>
      </c>
      <c r="Y459" s="286">
        <f t="shared" si="1126"/>
        <v>4752</v>
      </c>
      <c r="Z459" s="286">
        <v>1</v>
      </c>
      <c r="AA459" s="286">
        <f t="shared" si="1127"/>
        <v>4752</v>
      </c>
      <c r="AB459" s="286">
        <f t="shared" si="1128"/>
        <v>4752</v>
      </c>
      <c r="AC459" s="286">
        <f t="shared" si="1129"/>
        <v>0</v>
      </c>
      <c r="AD459" s="286">
        <f t="shared" si="1130"/>
        <v>2000.5</v>
      </c>
      <c r="AE459" s="286">
        <f t="shared" si="1131"/>
        <v>2018</v>
      </c>
      <c r="AF459" s="286">
        <f t="shared" si="1132"/>
        <v>2005.5</v>
      </c>
      <c r="AG459" s="286">
        <f t="shared" si="1133"/>
        <v>2017</v>
      </c>
      <c r="AH459" s="286">
        <f t="shared" si="1134"/>
        <v>-8.3333333333333329E-2</v>
      </c>
      <c r="AJ459" s="11">
        <f t="shared" si="1135"/>
        <v>0</v>
      </c>
      <c r="AL459" s="11">
        <f t="shared" si="1136"/>
        <v>0</v>
      </c>
      <c r="AN459" s="11">
        <f t="shared" si="1137"/>
        <v>0</v>
      </c>
      <c r="AP459" s="11">
        <f t="shared" si="1138"/>
        <v>0</v>
      </c>
      <c r="AR459" s="11">
        <f t="shared" si="1139"/>
        <v>0</v>
      </c>
    </row>
    <row r="460" spans="4:44">
      <c r="D460" s="282" t="s">
        <v>258</v>
      </c>
      <c r="E460" s="282">
        <v>2000</v>
      </c>
      <c r="F460" s="284">
        <v>8</v>
      </c>
      <c r="G460" s="307">
        <v>0</v>
      </c>
      <c r="H460" s="284"/>
      <c r="I460" s="308" t="s">
        <v>86</v>
      </c>
      <c r="J460" s="284">
        <v>5</v>
      </c>
      <c r="K460" s="309">
        <f t="shared" si="1119"/>
        <v>2005</v>
      </c>
      <c r="N460" s="285">
        <v>1284</v>
      </c>
      <c r="P460" s="286">
        <f t="shared" si="1120"/>
        <v>1284</v>
      </c>
      <c r="Q460" s="286">
        <f t="shared" si="1121"/>
        <v>21.400000000000002</v>
      </c>
      <c r="R460" s="286">
        <f t="shared" si="1122"/>
        <v>0</v>
      </c>
      <c r="T460" s="286">
        <f t="shared" si="1123"/>
        <v>0</v>
      </c>
      <c r="U460" s="286">
        <v>1</v>
      </c>
      <c r="V460" s="286">
        <f t="shared" si="1124"/>
        <v>0</v>
      </c>
      <c r="W460" s="286"/>
      <c r="X460" s="286">
        <f t="shared" si="1125"/>
        <v>1284</v>
      </c>
      <c r="Y460" s="286">
        <f t="shared" si="1126"/>
        <v>1284</v>
      </c>
      <c r="Z460" s="286">
        <v>1</v>
      </c>
      <c r="AA460" s="286">
        <f t="shared" si="1127"/>
        <v>1284</v>
      </c>
      <c r="AB460" s="286">
        <f t="shared" si="1128"/>
        <v>1284</v>
      </c>
      <c r="AC460" s="286">
        <f t="shared" si="1129"/>
        <v>0</v>
      </c>
      <c r="AD460" s="286">
        <f t="shared" si="1130"/>
        <v>2000.5833333333333</v>
      </c>
      <c r="AE460" s="286">
        <f t="shared" si="1131"/>
        <v>2018</v>
      </c>
      <c r="AF460" s="286">
        <f t="shared" si="1132"/>
        <v>2005.5833333333333</v>
      </c>
      <c r="AG460" s="286">
        <f t="shared" si="1133"/>
        <v>2017</v>
      </c>
      <c r="AH460" s="286">
        <f t="shared" si="1134"/>
        <v>-8.3333333333333329E-2</v>
      </c>
      <c r="AJ460" s="11">
        <f t="shared" si="1135"/>
        <v>0</v>
      </c>
      <c r="AL460" s="11">
        <f t="shared" si="1136"/>
        <v>0</v>
      </c>
      <c r="AN460" s="11">
        <f t="shared" si="1137"/>
        <v>0</v>
      </c>
      <c r="AP460" s="11">
        <f t="shared" si="1138"/>
        <v>0</v>
      </c>
      <c r="AR460" s="11">
        <f t="shared" si="1139"/>
        <v>0</v>
      </c>
    </row>
    <row r="461" spans="4:44">
      <c r="D461" s="282" t="s">
        <v>264</v>
      </c>
      <c r="E461" s="282">
        <v>2000</v>
      </c>
      <c r="F461" s="284">
        <v>8</v>
      </c>
      <c r="G461" s="307">
        <v>0</v>
      </c>
      <c r="H461" s="284"/>
      <c r="I461" s="308" t="s">
        <v>86</v>
      </c>
      <c r="J461" s="284">
        <v>10</v>
      </c>
      <c r="K461" s="309">
        <f t="shared" si="1119"/>
        <v>2010</v>
      </c>
      <c r="N461" s="285">
        <v>1543</v>
      </c>
      <c r="P461" s="286">
        <f t="shared" si="1120"/>
        <v>1543</v>
      </c>
      <c r="Q461" s="286">
        <f t="shared" si="1121"/>
        <v>12.858333333333334</v>
      </c>
      <c r="R461" s="286">
        <f t="shared" si="1122"/>
        <v>0</v>
      </c>
      <c r="T461" s="286">
        <f t="shared" si="1123"/>
        <v>0</v>
      </c>
      <c r="U461" s="286">
        <v>1</v>
      </c>
      <c r="V461" s="286">
        <f t="shared" si="1124"/>
        <v>0</v>
      </c>
      <c r="W461" s="286"/>
      <c r="X461" s="286">
        <f t="shared" si="1125"/>
        <v>1543</v>
      </c>
      <c r="Y461" s="286">
        <f t="shared" si="1126"/>
        <v>1543</v>
      </c>
      <c r="Z461" s="286">
        <v>1</v>
      </c>
      <c r="AA461" s="286">
        <f t="shared" si="1127"/>
        <v>1543</v>
      </c>
      <c r="AB461" s="286">
        <f t="shared" si="1128"/>
        <v>1543</v>
      </c>
      <c r="AC461" s="286">
        <f t="shared" si="1129"/>
        <v>0</v>
      </c>
      <c r="AD461" s="286">
        <f t="shared" si="1130"/>
        <v>2000.5833333333333</v>
      </c>
      <c r="AE461" s="286">
        <f t="shared" si="1131"/>
        <v>2018</v>
      </c>
      <c r="AF461" s="286">
        <f t="shared" si="1132"/>
        <v>2010.5833333333333</v>
      </c>
      <c r="AG461" s="286">
        <f t="shared" si="1133"/>
        <v>2017</v>
      </c>
      <c r="AH461" s="286">
        <f t="shared" si="1134"/>
        <v>-8.3333333333333329E-2</v>
      </c>
      <c r="AJ461" s="11">
        <f t="shared" si="1135"/>
        <v>0</v>
      </c>
      <c r="AL461" s="11">
        <f t="shared" si="1136"/>
        <v>0</v>
      </c>
      <c r="AN461" s="11">
        <f t="shared" si="1137"/>
        <v>0</v>
      </c>
      <c r="AP461" s="11">
        <f t="shared" si="1138"/>
        <v>0</v>
      </c>
      <c r="AR461" s="11">
        <f t="shared" si="1139"/>
        <v>0</v>
      </c>
    </row>
    <row r="462" spans="4:44">
      <c r="D462" s="282" t="s">
        <v>261</v>
      </c>
      <c r="E462" s="282">
        <v>2000</v>
      </c>
      <c r="F462" s="284">
        <v>12</v>
      </c>
      <c r="G462" s="307">
        <v>0</v>
      </c>
      <c r="H462" s="284"/>
      <c r="I462" s="308" t="s">
        <v>86</v>
      </c>
      <c r="J462" s="284">
        <v>5</v>
      </c>
      <c r="K462" s="309">
        <f t="shared" si="1119"/>
        <v>2005</v>
      </c>
      <c r="N462" s="285">
        <v>1114</v>
      </c>
      <c r="P462" s="286">
        <f t="shared" si="1120"/>
        <v>1114</v>
      </c>
      <c r="Q462" s="286">
        <f t="shared" si="1121"/>
        <v>18.566666666666666</v>
      </c>
      <c r="R462" s="286">
        <f t="shared" si="1122"/>
        <v>0</v>
      </c>
      <c r="T462" s="286">
        <f t="shared" si="1123"/>
        <v>0</v>
      </c>
      <c r="U462" s="286">
        <v>1</v>
      </c>
      <c r="V462" s="286">
        <f t="shared" si="1124"/>
        <v>0</v>
      </c>
      <c r="W462" s="286"/>
      <c r="X462" s="286">
        <f t="shared" si="1125"/>
        <v>1114</v>
      </c>
      <c r="Y462" s="286">
        <f t="shared" si="1126"/>
        <v>1114</v>
      </c>
      <c r="Z462" s="286">
        <v>1</v>
      </c>
      <c r="AA462" s="286">
        <f t="shared" si="1127"/>
        <v>1114</v>
      </c>
      <c r="AB462" s="286">
        <f t="shared" si="1128"/>
        <v>1114</v>
      </c>
      <c r="AC462" s="286">
        <f t="shared" si="1129"/>
        <v>0</v>
      </c>
      <c r="AD462" s="286">
        <f t="shared" si="1130"/>
        <v>2000.9166666666667</v>
      </c>
      <c r="AE462" s="286">
        <f t="shared" si="1131"/>
        <v>2018</v>
      </c>
      <c r="AF462" s="286">
        <f t="shared" si="1132"/>
        <v>2005.9166666666667</v>
      </c>
      <c r="AG462" s="286">
        <f t="shared" si="1133"/>
        <v>2017</v>
      </c>
      <c r="AH462" s="286">
        <f t="shared" si="1134"/>
        <v>-8.3333333333333329E-2</v>
      </c>
      <c r="AJ462" s="11">
        <f t="shared" si="1135"/>
        <v>0</v>
      </c>
      <c r="AL462" s="11">
        <f t="shared" si="1136"/>
        <v>0</v>
      </c>
      <c r="AN462" s="11">
        <f t="shared" si="1137"/>
        <v>0</v>
      </c>
      <c r="AP462" s="11">
        <f t="shared" si="1138"/>
        <v>0</v>
      </c>
      <c r="AR462" s="11">
        <f t="shared" si="1139"/>
        <v>0</v>
      </c>
    </row>
    <row r="463" spans="4:44">
      <c r="D463" s="282" t="s">
        <v>267</v>
      </c>
      <c r="E463" s="282">
        <v>2003</v>
      </c>
      <c r="F463" s="284">
        <v>12</v>
      </c>
      <c r="G463" s="307">
        <v>0</v>
      </c>
      <c r="H463" s="284"/>
      <c r="I463" s="308" t="s">
        <v>86</v>
      </c>
      <c r="J463" s="284">
        <v>5</v>
      </c>
      <c r="K463" s="309">
        <f t="shared" si="1119"/>
        <v>2008</v>
      </c>
      <c r="N463" s="285">
        <v>582</v>
      </c>
      <c r="P463" s="286">
        <f t="shared" si="1120"/>
        <v>582</v>
      </c>
      <c r="Q463" s="286">
        <f t="shared" si="1121"/>
        <v>9.7000000000000011</v>
      </c>
      <c r="R463" s="286">
        <f t="shared" si="1122"/>
        <v>0</v>
      </c>
      <c r="T463" s="286">
        <f t="shared" si="1123"/>
        <v>0</v>
      </c>
      <c r="U463" s="286">
        <v>1</v>
      </c>
      <c r="V463" s="286">
        <f t="shared" si="1124"/>
        <v>0</v>
      </c>
      <c r="W463" s="286"/>
      <c r="X463" s="286">
        <f t="shared" si="1125"/>
        <v>582</v>
      </c>
      <c r="Y463" s="286">
        <f t="shared" si="1126"/>
        <v>582</v>
      </c>
      <c r="Z463" s="286">
        <v>1</v>
      </c>
      <c r="AA463" s="286">
        <f t="shared" si="1127"/>
        <v>582</v>
      </c>
      <c r="AB463" s="286">
        <f t="shared" si="1128"/>
        <v>582</v>
      </c>
      <c r="AC463" s="286">
        <f t="shared" si="1129"/>
        <v>0</v>
      </c>
      <c r="AD463" s="286">
        <f t="shared" si="1130"/>
        <v>2003.9166666666667</v>
      </c>
      <c r="AE463" s="286">
        <f t="shared" si="1131"/>
        <v>2018</v>
      </c>
      <c r="AF463" s="286">
        <f t="shared" si="1132"/>
        <v>2008.9166666666667</v>
      </c>
      <c r="AG463" s="286">
        <f t="shared" si="1133"/>
        <v>2017</v>
      </c>
      <c r="AH463" s="286">
        <f t="shared" si="1134"/>
        <v>-8.3333333333333329E-2</v>
      </c>
      <c r="AJ463" s="11">
        <f t="shared" si="1135"/>
        <v>0</v>
      </c>
      <c r="AL463" s="11">
        <f t="shared" si="1136"/>
        <v>0</v>
      </c>
      <c r="AN463" s="11">
        <f t="shared" si="1137"/>
        <v>0</v>
      </c>
      <c r="AP463" s="11">
        <f t="shared" si="1138"/>
        <v>0</v>
      </c>
      <c r="AR463" s="11">
        <f t="shared" si="1139"/>
        <v>0</v>
      </c>
    </row>
    <row r="464" spans="4:44">
      <c r="D464" s="282" t="s">
        <v>268</v>
      </c>
      <c r="E464" s="282">
        <v>2004</v>
      </c>
      <c r="F464" s="284">
        <v>7</v>
      </c>
      <c r="G464" s="307">
        <v>0</v>
      </c>
      <c r="H464" s="284"/>
      <c r="I464" s="308" t="s">
        <v>86</v>
      </c>
      <c r="J464" s="284">
        <v>5</v>
      </c>
      <c r="K464" s="309">
        <f t="shared" si="1119"/>
        <v>2009</v>
      </c>
      <c r="N464" s="285">
        <v>2050</v>
      </c>
      <c r="P464" s="286">
        <f t="shared" si="1120"/>
        <v>2050</v>
      </c>
      <c r="Q464" s="286">
        <f t="shared" si="1121"/>
        <v>34.166666666666664</v>
      </c>
      <c r="R464" s="286">
        <f t="shared" si="1122"/>
        <v>0</v>
      </c>
      <c r="T464" s="286">
        <f t="shared" si="1123"/>
        <v>0</v>
      </c>
      <c r="U464" s="286">
        <v>1</v>
      </c>
      <c r="V464" s="286">
        <f t="shared" si="1124"/>
        <v>0</v>
      </c>
      <c r="W464" s="286"/>
      <c r="X464" s="286">
        <f t="shared" si="1125"/>
        <v>2050</v>
      </c>
      <c r="Y464" s="286">
        <f t="shared" si="1126"/>
        <v>2050</v>
      </c>
      <c r="Z464" s="286">
        <v>1</v>
      </c>
      <c r="AA464" s="286">
        <f t="shared" si="1127"/>
        <v>2050</v>
      </c>
      <c r="AB464" s="286">
        <f t="shared" si="1128"/>
        <v>2050</v>
      </c>
      <c r="AC464" s="286">
        <f t="shared" si="1129"/>
        <v>0</v>
      </c>
      <c r="AD464" s="286">
        <f t="shared" si="1130"/>
        <v>2004.5</v>
      </c>
      <c r="AE464" s="286">
        <f t="shared" si="1131"/>
        <v>2018</v>
      </c>
      <c r="AF464" s="286">
        <f t="shared" si="1132"/>
        <v>2009.5</v>
      </c>
      <c r="AG464" s="286">
        <f t="shared" si="1133"/>
        <v>2017</v>
      </c>
      <c r="AH464" s="286">
        <f t="shared" si="1134"/>
        <v>-8.3333333333333329E-2</v>
      </c>
      <c r="AJ464" s="11">
        <f t="shared" si="1135"/>
        <v>0</v>
      </c>
      <c r="AL464" s="11">
        <f t="shared" si="1136"/>
        <v>0</v>
      </c>
      <c r="AN464" s="11">
        <f t="shared" si="1137"/>
        <v>0</v>
      </c>
      <c r="AP464" s="11">
        <f t="shared" si="1138"/>
        <v>0</v>
      </c>
      <c r="AR464" s="11">
        <f t="shared" si="1139"/>
        <v>0</v>
      </c>
    </row>
    <row r="465" spans="1:44">
      <c r="D465" s="282" t="s">
        <v>269</v>
      </c>
      <c r="E465" s="282">
        <v>2009</v>
      </c>
      <c r="F465" s="284">
        <v>1</v>
      </c>
      <c r="G465" s="307">
        <v>0</v>
      </c>
      <c r="H465" s="284"/>
      <c r="I465" s="308" t="s">
        <v>86</v>
      </c>
      <c r="J465" s="284">
        <v>5</v>
      </c>
      <c r="K465" s="309">
        <f t="shared" si="1119"/>
        <v>2014</v>
      </c>
      <c r="N465" s="285">
        <v>9626.66</v>
      </c>
      <c r="P465" s="286">
        <f t="shared" si="1120"/>
        <v>9626.66</v>
      </c>
      <c r="Q465" s="286">
        <f t="shared" si="1121"/>
        <v>160.44433333333333</v>
      </c>
      <c r="R465" s="286">
        <f t="shared" si="1122"/>
        <v>0</v>
      </c>
      <c r="T465" s="286">
        <f t="shared" si="1123"/>
        <v>0</v>
      </c>
      <c r="U465" s="286">
        <v>1</v>
      </c>
      <c r="V465" s="286">
        <f t="shared" si="1124"/>
        <v>0</v>
      </c>
      <c r="W465" s="286"/>
      <c r="X465" s="286">
        <f t="shared" si="1125"/>
        <v>9626.66</v>
      </c>
      <c r="Y465" s="286">
        <f t="shared" si="1126"/>
        <v>9626.66</v>
      </c>
      <c r="Z465" s="286">
        <v>1</v>
      </c>
      <c r="AA465" s="286">
        <f t="shared" si="1127"/>
        <v>9626.66</v>
      </c>
      <c r="AB465" s="286">
        <f t="shared" si="1128"/>
        <v>9626.66</v>
      </c>
      <c r="AC465" s="286">
        <f t="shared" si="1129"/>
        <v>0</v>
      </c>
      <c r="AD465" s="286">
        <f t="shared" si="1130"/>
        <v>2009</v>
      </c>
      <c r="AE465" s="286">
        <f t="shared" si="1131"/>
        <v>2018</v>
      </c>
      <c r="AF465" s="286">
        <f t="shared" si="1132"/>
        <v>2014</v>
      </c>
      <c r="AG465" s="286">
        <f t="shared" si="1133"/>
        <v>2017</v>
      </c>
      <c r="AH465" s="286">
        <f t="shared" si="1134"/>
        <v>-8.3333333333333329E-2</v>
      </c>
      <c r="AJ465" s="11">
        <f t="shared" si="1135"/>
        <v>0</v>
      </c>
      <c r="AL465" s="11">
        <f t="shared" si="1136"/>
        <v>0</v>
      </c>
      <c r="AN465" s="11">
        <f t="shared" si="1137"/>
        <v>0</v>
      </c>
      <c r="AP465" s="11">
        <f t="shared" si="1138"/>
        <v>0</v>
      </c>
      <c r="AR465" s="11">
        <f t="shared" si="1139"/>
        <v>0</v>
      </c>
    </row>
    <row r="466" spans="1:44">
      <c r="D466" s="282" t="s">
        <v>270</v>
      </c>
      <c r="E466" s="282">
        <v>2009</v>
      </c>
      <c r="F466" s="284">
        <v>1</v>
      </c>
      <c r="G466" s="307">
        <v>0</v>
      </c>
      <c r="H466" s="284"/>
      <c r="I466" s="308" t="s">
        <v>86</v>
      </c>
      <c r="J466" s="284">
        <v>5</v>
      </c>
      <c r="K466" s="309">
        <f t="shared" si="1119"/>
        <v>2014</v>
      </c>
      <c r="N466" s="285">
        <v>6948.12</v>
      </c>
      <c r="P466" s="286">
        <f t="shared" si="1120"/>
        <v>6948.12</v>
      </c>
      <c r="Q466" s="286">
        <f t="shared" si="1121"/>
        <v>115.80200000000001</v>
      </c>
      <c r="R466" s="286">
        <f t="shared" si="1122"/>
        <v>0</v>
      </c>
      <c r="T466" s="286">
        <f t="shared" si="1123"/>
        <v>0</v>
      </c>
      <c r="U466" s="286">
        <v>1</v>
      </c>
      <c r="V466" s="286">
        <f t="shared" si="1124"/>
        <v>0</v>
      </c>
      <c r="W466" s="286"/>
      <c r="X466" s="286">
        <f t="shared" si="1125"/>
        <v>6948.12</v>
      </c>
      <c r="Y466" s="286">
        <f t="shared" si="1126"/>
        <v>6948.12</v>
      </c>
      <c r="Z466" s="286">
        <v>1</v>
      </c>
      <c r="AA466" s="286">
        <f t="shared" si="1127"/>
        <v>6948.12</v>
      </c>
      <c r="AB466" s="286">
        <f t="shared" si="1128"/>
        <v>6948.12</v>
      </c>
      <c r="AC466" s="286">
        <f t="shared" si="1129"/>
        <v>0</v>
      </c>
      <c r="AD466" s="286">
        <f t="shared" si="1130"/>
        <v>2009</v>
      </c>
      <c r="AE466" s="286">
        <f t="shared" si="1131"/>
        <v>2018</v>
      </c>
      <c r="AF466" s="286">
        <f t="shared" si="1132"/>
        <v>2014</v>
      </c>
      <c r="AG466" s="286">
        <f t="shared" si="1133"/>
        <v>2017</v>
      </c>
      <c r="AH466" s="286">
        <f t="shared" si="1134"/>
        <v>-8.3333333333333329E-2</v>
      </c>
      <c r="AJ466" s="11">
        <f t="shared" si="1135"/>
        <v>0</v>
      </c>
      <c r="AL466" s="11">
        <f t="shared" si="1136"/>
        <v>0</v>
      </c>
      <c r="AN466" s="11">
        <f t="shared" si="1137"/>
        <v>0</v>
      </c>
      <c r="AP466" s="11">
        <f t="shared" si="1138"/>
        <v>0</v>
      </c>
      <c r="AR466" s="11">
        <f t="shared" si="1139"/>
        <v>0</v>
      </c>
    </row>
    <row r="467" spans="1:44">
      <c r="D467" s="282" t="s">
        <v>264</v>
      </c>
      <c r="E467" s="282">
        <v>2009</v>
      </c>
      <c r="F467" s="284">
        <v>7</v>
      </c>
      <c r="G467" s="307">
        <v>0</v>
      </c>
      <c r="H467" s="284"/>
      <c r="I467" s="308" t="s">
        <v>86</v>
      </c>
      <c r="J467" s="284">
        <v>7</v>
      </c>
      <c r="K467" s="309">
        <f t="shared" si="1119"/>
        <v>2016</v>
      </c>
      <c r="N467" s="285">
        <v>1200</v>
      </c>
      <c r="P467" s="286">
        <f t="shared" si="1120"/>
        <v>1200</v>
      </c>
      <c r="Q467" s="286">
        <f t="shared" si="1121"/>
        <v>14.285714285714285</v>
      </c>
      <c r="R467" s="286">
        <f t="shared" si="1122"/>
        <v>0</v>
      </c>
      <c r="T467" s="286">
        <f t="shared" si="1123"/>
        <v>0</v>
      </c>
      <c r="U467" s="286">
        <v>1</v>
      </c>
      <c r="V467" s="286">
        <f t="shared" si="1124"/>
        <v>0</v>
      </c>
      <c r="W467" s="286"/>
      <c r="X467" s="286">
        <f t="shared" si="1125"/>
        <v>1200</v>
      </c>
      <c r="Y467" s="286">
        <f t="shared" si="1126"/>
        <v>1200</v>
      </c>
      <c r="Z467" s="286">
        <v>1</v>
      </c>
      <c r="AA467" s="286">
        <f t="shared" si="1127"/>
        <v>1200</v>
      </c>
      <c r="AB467" s="286">
        <f t="shared" si="1128"/>
        <v>1200</v>
      </c>
      <c r="AC467" s="286">
        <f t="shared" si="1129"/>
        <v>0</v>
      </c>
      <c r="AD467" s="286">
        <f t="shared" si="1130"/>
        <v>2009.5</v>
      </c>
      <c r="AE467" s="286">
        <f t="shared" si="1131"/>
        <v>2018</v>
      </c>
      <c r="AF467" s="286">
        <f t="shared" si="1132"/>
        <v>2016.5</v>
      </c>
      <c r="AG467" s="286">
        <f t="shared" si="1133"/>
        <v>2017</v>
      </c>
      <c r="AH467" s="286">
        <f t="shared" si="1134"/>
        <v>-8.3333333333333329E-2</v>
      </c>
      <c r="AJ467" s="11">
        <f t="shared" si="1135"/>
        <v>0</v>
      </c>
      <c r="AL467" s="11">
        <f t="shared" si="1136"/>
        <v>0</v>
      </c>
      <c r="AN467" s="11">
        <f t="shared" si="1137"/>
        <v>0</v>
      </c>
      <c r="AP467" s="11">
        <f t="shared" si="1138"/>
        <v>0</v>
      </c>
      <c r="AR467" s="11">
        <f t="shared" si="1139"/>
        <v>0</v>
      </c>
    </row>
    <row r="468" spans="1:44">
      <c r="D468" s="282" t="s">
        <v>258</v>
      </c>
      <c r="E468" s="282">
        <v>2009</v>
      </c>
      <c r="F468" s="284">
        <v>7</v>
      </c>
      <c r="G468" s="307">
        <v>0</v>
      </c>
      <c r="H468" s="284"/>
      <c r="I468" s="308" t="s">
        <v>86</v>
      </c>
      <c r="J468" s="284">
        <v>5</v>
      </c>
      <c r="K468" s="309">
        <f t="shared" si="1119"/>
        <v>2014</v>
      </c>
      <c r="N468" s="285">
        <v>1200</v>
      </c>
      <c r="P468" s="286">
        <f t="shared" si="1120"/>
        <v>1200</v>
      </c>
      <c r="Q468" s="286">
        <f t="shared" si="1121"/>
        <v>20</v>
      </c>
      <c r="R468" s="286">
        <f t="shared" si="1122"/>
        <v>0</v>
      </c>
      <c r="T468" s="286">
        <f t="shared" si="1123"/>
        <v>0</v>
      </c>
      <c r="U468" s="286">
        <v>1</v>
      </c>
      <c r="V468" s="286">
        <f t="shared" si="1124"/>
        <v>0</v>
      </c>
      <c r="W468" s="286"/>
      <c r="X468" s="286">
        <f t="shared" si="1125"/>
        <v>1200</v>
      </c>
      <c r="Y468" s="286">
        <f t="shared" si="1126"/>
        <v>1200</v>
      </c>
      <c r="Z468" s="286">
        <v>1</v>
      </c>
      <c r="AA468" s="286">
        <f t="shared" si="1127"/>
        <v>1200</v>
      </c>
      <c r="AB468" s="286">
        <f t="shared" si="1128"/>
        <v>1200</v>
      </c>
      <c r="AC468" s="286">
        <f t="shared" si="1129"/>
        <v>0</v>
      </c>
      <c r="AD468" s="286">
        <f t="shared" si="1130"/>
        <v>2009.5</v>
      </c>
      <c r="AE468" s="286">
        <f t="shared" si="1131"/>
        <v>2018</v>
      </c>
      <c r="AF468" s="286">
        <f t="shared" si="1132"/>
        <v>2014.5</v>
      </c>
      <c r="AG468" s="286">
        <f t="shared" si="1133"/>
        <v>2017</v>
      </c>
      <c r="AH468" s="286">
        <f t="shared" si="1134"/>
        <v>-8.3333333333333329E-2</v>
      </c>
      <c r="AJ468" s="11">
        <f t="shared" si="1135"/>
        <v>0</v>
      </c>
      <c r="AL468" s="11">
        <f t="shared" si="1136"/>
        <v>0</v>
      </c>
      <c r="AN468" s="11">
        <f t="shared" si="1137"/>
        <v>0</v>
      </c>
      <c r="AP468" s="11">
        <f t="shared" si="1138"/>
        <v>0</v>
      </c>
      <c r="AR468" s="11">
        <f t="shared" si="1139"/>
        <v>0</v>
      </c>
    </row>
    <row r="469" spans="1:44">
      <c r="D469" s="282" t="s">
        <v>271</v>
      </c>
      <c r="E469" s="282">
        <v>2010</v>
      </c>
      <c r="F469" s="284">
        <v>7</v>
      </c>
      <c r="G469" s="307">
        <v>0</v>
      </c>
      <c r="H469" s="284"/>
      <c r="I469" s="308" t="s">
        <v>86</v>
      </c>
      <c r="J469" s="284">
        <v>5</v>
      </c>
      <c r="K469" s="309">
        <f t="shared" si="1119"/>
        <v>2015</v>
      </c>
      <c r="N469" s="285">
        <v>612.22</v>
      </c>
      <c r="P469" s="286">
        <f t="shared" si="1120"/>
        <v>612.22</v>
      </c>
      <c r="Q469" s="286">
        <f t="shared" si="1121"/>
        <v>10.203666666666667</v>
      </c>
      <c r="R469" s="286">
        <f t="shared" si="1122"/>
        <v>0</v>
      </c>
      <c r="T469" s="286">
        <f t="shared" si="1123"/>
        <v>0</v>
      </c>
      <c r="U469" s="286">
        <v>1</v>
      </c>
      <c r="V469" s="286">
        <f t="shared" si="1124"/>
        <v>0</v>
      </c>
      <c r="W469" s="286"/>
      <c r="X469" s="286">
        <f t="shared" si="1125"/>
        <v>612.22</v>
      </c>
      <c r="Y469" s="286">
        <f t="shared" si="1126"/>
        <v>612.22</v>
      </c>
      <c r="Z469" s="286">
        <v>1</v>
      </c>
      <c r="AA469" s="286">
        <f t="shared" si="1127"/>
        <v>612.22</v>
      </c>
      <c r="AB469" s="286">
        <f t="shared" si="1128"/>
        <v>612.22</v>
      </c>
      <c r="AC469" s="286">
        <f t="shared" si="1129"/>
        <v>0</v>
      </c>
      <c r="AD469" s="286">
        <f t="shared" si="1130"/>
        <v>2010.5</v>
      </c>
      <c r="AE469" s="286">
        <f t="shared" si="1131"/>
        <v>2018</v>
      </c>
      <c r="AF469" s="286">
        <f t="shared" si="1132"/>
        <v>2015.5</v>
      </c>
      <c r="AG469" s="286">
        <f t="shared" si="1133"/>
        <v>2017</v>
      </c>
      <c r="AH469" s="286">
        <f t="shared" si="1134"/>
        <v>-8.3333333333333329E-2</v>
      </c>
      <c r="AJ469" s="11">
        <f t="shared" si="1135"/>
        <v>0</v>
      </c>
      <c r="AL469" s="11">
        <f t="shared" si="1136"/>
        <v>0</v>
      </c>
      <c r="AN469" s="11">
        <f t="shared" si="1137"/>
        <v>0</v>
      </c>
      <c r="AP469" s="11">
        <f t="shared" si="1138"/>
        <v>0</v>
      </c>
      <c r="AR469" s="11">
        <f t="shared" si="1139"/>
        <v>0</v>
      </c>
    </row>
    <row r="470" spans="1:44">
      <c r="D470" s="282" t="s">
        <v>272</v>
      </c>
      <c r="E470" s="282">
        <v>2011</v>
      </c>
      <c r="F470" s="284">
        <v>11</v>
      </c>
      <c r="G470" s="307">
        <v>0</v>
      </c>
      <c r="H470" s="284"/>
      <c r="I470" s="308" t="s">
        <v>86</v>
      </c>
      <c r="J470" s="284">
        <v>5</v>
      </c>
      <c r="K470" s="309">
        <f t="shared" si="1119"/>
        <v>2016</v>
      </c>
      <c r="N470" s="285">
        <v>1537.57</v>
      </c>
      <c r="P470" s="286">
        <f t="shared" si="1120"/>
        <v>1537.57</v>
      </c>
      <c r="Q470" s="286">
        <f t="shared" si="1121"/>
        <v>25.626166666666666</v>
      </c>
      <c r="R470" s="286">
        <f t="shared" si="1122"/>
        <v>0</v>
      </c>
      <c r="T470" s="286">
        <f t="shared" si="1123"/>
        <v>0</v>
      </c>
      <c r="U470" s="286">
        <v>1</v>
      </c>
      <c r="V470" s="286">
        <f t="shared" si="1124"/>
        <v>0</v>
      </c>
      <c r="W470" s="286"/>
      <c r="X470" s="286">
        <f t="shared" si="1125"/>
        <v>1537.57</v>
      </c>
      <c r="Y470" s="286">
        <f t="shared" si="1126"/>
        <v>1537.57</v>
      </c>
      <c r="Z470" s="286">
        <v>1</v>
      </c>
      <c r="AA470" s="286">
        <f t="shared" si="1127"/>
        <v>1537.57</v>
      </c>
      <c r="AB470" s="286">
        <f t="shared" si="1128"/>
        <v>1537.57</v>
      </c>
      <c r="AC470" s="286">
        <f t="shared" si="1129"/>
        <v>0</v>
      </c>
      <c r="AD470" s="286">
        <f t="shared" si="1130"/>
        <v>2011.8333333333333</v>
      </c>
      <c r="AE470" s="286">
        <f t="shared" si="1131"/>
        <v>2018</v>
      </c>
      <c r="AF470" s="286">
        <f t="shared" si="1132"/>
        <v>2016.8333333333333</v>
      </c>
      <c r="AG470" s="286">
        <f t="shared" si="1133"/>
        <v>2017</v>
      </c>
      <c r="AH470" s="286">
        <f t="shared" si="1134"/>
        <v>-8.3333333333333329E-2</v>
      </c>
      <c r="AJ470" s="11">
        <f t="shared" si="1135"/>
        <v>0</v>
      </c>
      <c r="AL470" s="11">
        <f t="shared" si="1136"/>
        <v>0</v>
      </c>
      <c r="AN470" s="11">
        <f t="shared" si="1137"/>
        <v>0</v>
      </c>
      <c r="AP470" s="11">
        <f t="shared" si="1138"/>
        <v>0</v>
      </c>
      <c r="AR470" s="11">
        <f t="shared" si="1139"/>
        <v>0</v>
      </c>
    </row>
    <row r="471" spans="1:44">
      <c r="A471" s="282">
        <v>90451</v>
      </c>
      <c r="C471" s="282" t="s">
        <v>273</v>
      </c>
      <c r="D471" s="282" t="s">
        <v>274</v>
      </c>
      <c r="E471" s="282">
        <v>2012</v>
      </c>
      <c r="F471" s="284">
        <v>1</v>
      </c>
      <c r="G471" s="307">
        <v>0</v>
      </c>
      <c r="H471" s="284"/>
      <c r="I471" s="308" t="s">
        <v>86</v>
      </c>
      <c r="J471" s="284">
        <v>5</v>
      </c>
      <c r="K471" s="309">
        <f t="shared" si="1119"/>
        <v>2017</v>
      </c>
      <c r="N471" s="285">
        <v>559.78</v>
      </c>
      <c r="P471" s="286">
        <f t="shared" si="1120"/>
        <v>559.78</v>
      </c>
      <c r="Q471" s="286">
        <f t="shared" si="1121"/>
        <v>9.3296666666666663</v>
      </c>
      <c r="R471" s="286">
        <f t="shared" si="1122"/>
        <v>0</v>
      </c>
      <c r="T471" s="286">
        <f t="shared" si="1123"/>
        <v>0</v>
      </c>
      <c r="U471" s="286">
        <v>1</v>
      </c>
      <c r="V471" s="286">
        <f t="shared" si="1124"/>
        <v>0</v>
      </c>
      <c r="W471" s="286"/>
      <c r="X471" s="286">
        <f t="shared" si="1125"/>
        <v>559.78</v>
      </c>
      <c r="Y471" s="286">
        <f t="shared" si="1126"/>
        <v>559.78</v>
      </c>
      <c r="Z471" s="286">
        <v>1</v>
      </c>
      <c r="AA471" s="286">
        <f t="shared" si="1127"/>
        <v>559.78</v>
      </c>
      <c r="AB471" s="286">
        <f t="shared" si="1128"/>
        <v>559.78</v>
      </c>
      <c r="AC471" s="286">
        <f t="shared" si="1129"/>
        <v>0</v>
      </c>
      <c r="AD471" s="286">
        <f t="shared" si="1130"/>
        <v>2012</v>
      </c>
      <c r="AE471" s="286">
        <f t="shared" si="1131"/>
        <v>2018</v>
      </c>
      <c r="AF471" s="286">
        <f t="shared" si="1132"/>
        <v>2017</v>
      </c>
      <c r="AG471" s="286">
        <f t="shared" si="1133"/>
        <v>2017</v>
      </c>
      <c r="AH471" s="286">
        <f t="shared" si="1134"/>
        <v>-8.3333333333333329E-2</v>
      </c>
      <c r="AJ471" s="11">
        <f t="shared" si="1135"/>
        <v>0</v>
      </c>
      <c r="AL471" s="11">
        <f t="shared" si="1136"/>
        <v>0</v>
      </c>
      <c r="AN471" s="11">
        <f t="shared" si="1137"/>
        <v>0</v>
      </c>
      <c r="AP471" s="11">
        <f t="shared" si="1138"/>
        <v>0</v>
      </c>
      <c r="AR471" s="11">
        <f t="shared" si="1139"/>
        <v>0</v>
      </c>
    </row>
    <row r="472" spans="1:44">
      <c r="A472" s="282">
        <v>93958</v>
      </c>
      <c r="D472" s="282" t="s">
        <v>289</v>
      </c>
      <c r="E472" s="282">
        <v>2012</v>
      </c>
      <c r="F472" s="284">
        <v>5</v>
      </c>
      <c r="G472" s="307">
        <v>0</v>
      </c>
      <c r="H472" s="284"/>
      <c r="I472" s="308" t="s">
        <v>86</v>
      </c>
      <c r="J472" s="284">
        <v>5</v>
      </c>
      <c r="K472" s="309">
        <f t="shared" si="1119"/>
        <v>2017</v>
      </c>
      <c r="N472" s="285">
        <v>950</v>
      </c>
      <c r="P472" s="286">
        <f t="shared" si="1120"/>
        <v>950</v>
      </c>
      <c r="Q472" s="286">
        <f t="shared" si="1121"/>
        <v>15.833333333333334</v>
      </c>
      <c r="R472" s="286">
        <f t="shared" si="1122"/>
        <v>63.333333333318933</v>
      </c>
      <c r="T472" s="286">
        <f t="shared" ref="T472" si="1140">IF(S472&gt;0,S472,R472)</f>
        <v>63.333333333318933</v>
      </c>
      <c r="U472" s="286">
        <v>1</v>
      </c>
      <c r="V472" s="286">
        <f t="shared" ref="V472" si="1141">U472*SUM(R472:S472)</f>
        <v>63.333333333318933</v>
      </c>
      <c r="W472" s="286"/>
      <c r="X472" s="286">
        <f t="shared" ref="X472" si="1142">IF(AD472&gt;AE472,0,IF(AF472&lt;AG472,P472,IF(AND(AF472&gt;=AG472,AF472&lt;=AE472),(P472-T472),IF(AND(AG472&lt;=AD472,AE472&gt;=AD472),0,IF(AF472&gt;AE472,((AG472-AD472)*12)*Q472,0)))))</f>
        <v>886.66666666668107</v>
      </c>
      <c r="Y472" s="286">
        <f t="shared" ref="Y472" si="1143">X472*U472</f>
        <v>886.66666666668107</v>
      </c>
      <c r="Z472" s="286">
        <v>1</v>
      </c>
      <c r="AA472" s="286">
        <f t="shared" ref="AA472" si="1144">Y472*Z472</f>
        <v>886.66666666668107</v>
      </c>
      <c r="AB472" s="286">
        <f t="shared" ref="AB472" si="1145">IF(O472&gt;0,0,AA472+V472*Z472)*Z472</f>
        <v>950</v>
      </c>
      <c r="AC472" s="286">
        <f t="shared" ref="AC472" si="1146">IF(O472&gt;0,(N472-AA472)/2,IF(AD472&gt;=AG472,(((N472*U472)*Z472)-AB472)/2,((((N472*U472)*Z472)-AA472)+(((N472*U472)*Z472)-AB472))/2))</f>
        <v>31.666666666659467</v>
      </c>
      <c r="AD472" s="286">
        <f t="shared" si="1130"/>
        <v>2012.3333333333333</v>
      </c>
      <c r="AE472" s="286">
        <f t="shared" si="1131"/>
        <v>2018</v>
      </c>
      <c r="AF472" s="286">
        <f t="shared" si="1132"/>
        <v>2017.3333333333333</v>
      </c>
      <c r="AG472" s="286">
        <f t="shared" si="1133"/>
        <v>2017</v>
      </c>
      <c r="AH472" s="286">
        <f t="shared" si="1134"/>
        <v>-8.3333333333333329E-2</v>
      </c>
      <c r="AJ472" s="11">
        <f t="shared" si="1135"/>
        <v>0</v>
      </c>
      <c r="AL472" s="11">
        <f t="shared" si="1136"/>
        <v>63.333333333318933</v>
      </c>
      <c r="AN472" s="11">
        <f t="shared" si="1137"/>
        <v>0</v>
      </c>
      <c r="AP472" s="11">
        <f t="shared" si="1138"/>
        <v>0</v>
      </c>
      <c r="AR472" s="11">
        <f t="shared" si="1139"/>
        <v>31.666666666659467</v>
      </c>
    </row>
    <row r="473" spans="1:44">
      <c r="A473" s="282">
        <v>113270</v>
      </c>
      <c r="D473" s="282" t="s">
        <v>313</v>
      </c>
      <c r="E473" s="282">
        <v>2014</v>
      </c>
      <c r="F473" s="284">
        <v>4</v>
      </c>
      <c r="G473" s="307">
        <v>0</v>
      </c>
      <c r="H473" s="284"/>
      <c r="I473" s="308" t="s">
        <v>86</v>
      </c>
      <c r="J473" s="284">
        <v>5</v>
      </c>
      <c r="K473" s="309">
        <f t="shared" si="1119"/>
        <v>2019</v>
      </c>
      <c r="N473" s="285">
        <v>1013.04</v>
      </c>
      <c r="P473" s="286">
        <f t="shared" si="1120"/>
        <v>1013.04</v>
      </c>
      <c r="Q473" s="286">
        <f t="shared" si="1121"/>
        <v>16.884</v>
      </c>
      <c r="R473" s="286">
        <f t="shared" ref="R473" si="1147">IF(O473&gt;0,0,IF(OR(AD473&gt;AE473,AF473&lt;AG473),0,IF(AND(AF473&gt;=AG473,AF473&lt;=AE473),Q473*((AF473-AG473)*12),IF(AND(AG473&lt;=AD473,AE473&gt;=AD473),((AE473-AD473)*12)*Q473,IF(AF473&gt;AE473,12*Q473,0)))))</f>
        <v>202.608</v>
      </c>
      <c r="T473" s="286">
        <f t="shared" ref="T473" si="1148">IF(S473&gt;0,S473,R473)</f>
        <v>202.608</v>
      </c>
      <c r="U473" s="286">
        <v>1</v>
      </c>
      <c r="V473" s="286">
        <f t="shared" ref="V473" si="1149">U473*SUM(R473:S473)</f>
        <v>202.608</v>
      </c>
      <c r="W473" s="286"/>
      <c r="X473" s="286">
        <f t="shared" ref="X473" si="1150">IF(AD473&gt;AE473,0,IF(AF473&lt;AG473,P473,IF(AND(AF473&gt;=AG473,AF473&lt;=AE473),(P473-T473),IF(AND(AG473&lt;=AD473,AE473&gt;=AD473),0,IF(AF473&gt;AE473,((AG473-AD473)*12)*Q473,0)))))</f>
        <v>557.17200000000003</v>
      </c>
      <c r="Y473" s="286">
        <f t="shared" ref="Y473" si="1151">X473*U473</f>
        <v>557.17200000000003</v>
      </c>
      <c r="Z473" s="286">
        <v>1</v>
      </c>
      <c r="AA473" s="286">
        <f t="shared" ref="AA473" si="1152">Y473*Z473</f>
        <v>557.17200000000003</v>
      </c>
      <c r="AB473" s="286">
        <f t="shared" ref="AB473" si="1153">IF(O473&gt;0,0,AA473+V473*Z473)*Z473</f>
        <v>759.78</v>
      </c>
      <c r="AC473" s="286">
        <f t="shared" ref="AC473" si="1154">IF(O473&gt;0,(N473-AA473)/2,IF(AD473&gt;=AG473,(((N473*U473)*Z473)-AB473)/2,((((N473*U473)*Z473)-AA473)+(((N473*U473)*Z473)-AB473))/2))</f>
        <v>354.56399999999996</v>
      </c>
      <c r="AD473" s="286">
        <f t="shared" si="1130"/>
        <v>2014.25</v>
      </c>
      <c r="AE473" s="286">
        <f t="shared" si="1131"/>
        <v>2018</v>
      </c>
      <c r="AF473" s="286">
        <f t="shared" si="1132"/>
        <v>2019.25</v>
      </c>
      <c r="AG473" s="286">
        <f t="shared" si="1133"/>
        <v>2017</v>
      </c>
      <c r="AH473" s="286">
        <f t="shared" si="1134"/>
        <v>-8.3333333333333329E-2</v>
      </c>
      <c r="AJ473" s="11">
        <f t="shared" si="1135"/>
        <v>0</v>
      </c>
      <c r="AL473" s="11">
        <f t="shared" si="1136"/>
        <v>202.608</v>
      </c>
      <c r="AN473" s="11">
        <f t="shared" si="1137"/>
        <v>0</v>
      </c>
      <c r="AP473" s="11">
        <f t="shared" si="1138"/>
        <v>0</v>
      </c>
      <c r="AR473" s="11">
        <f t="shared" si="1139"/>
        <v>354.56399999999996</v>
      </c>
    </row>
    <row r="474" spans="1:44">
      <c r="A474" s="282">
        <v>122702</v>
      </c>
      <c r="C474" s="282">
        <v>2</v>
      </c>
      <c r="D474" s="282" t="s">
        <v>325</v>
      </c>
      <c r="E474" s="282">
        <v>2015</v>
      </c>
      <c r="F474" s="284">
        <v>4</v>
      </c>
      <c r="G474" s="307">
        <v>0</v>
      </c>
      <c r="H474" s="284"/>
      <c r="I474" s="308" t="s">
        <v>86</v>
      </c>
      <c r="J474" s="284">
        <v>5</v>
      </c>
      <c r="K474" s="309">
        <f t="shared" si="1119"/>
        <v>2020</v>
      </c>
      <c r="N474" s="285">
        <v>655</v>
      </c>
      <c r="P474" s="286">
        <f t="shared" si="1120"/>
        <v>655</v>
      </c>
      <c r="Q474" s="286">
        <f t="shared" si="1121"/>
        <v>10.916666666666666</v>
      </c>
      <c r="R474" s="286">
        <f t="shared" ref="R474:R475" si="1155">IF(O474&gt;0,0,IF(OR(AD474&gt;AE474,AF474&lt;AG474),0,IF(AND(AF474&gt;=AG474,AF474&lt;=AE474),Q474*((AF474-AG474)*12),IF(AND(AG474&lt;=AD474,AE474&gt;=AD474),((AE474-AD474)*12)*Q474,IF(AF474&gt;AE474,12*Q474,0)))))</f>
        <v>131</v>
      </c>
      <c r="T474" s="286">
        <f t="shared" ref="T474:T475" si="1156">IF(S474&gt;0,S474,R474)</f>
        <v>131</v>
      </c>
      <c r="U474" s="286">
        <v>1</v>
      </c>
      <c r="V474" s="286">
        <f t="shared" ref="V474:V475" si="1157">U474*SUM(R474:S474)</f>
        <v>131</v>
      </c>
      <c r="W474" s="286"/>
      <c r="X474" s="286">
        <f t="shared" ref="X474:X475" si="1158">IF(AD474&gt;AE474,0,IF(AF474&lt;AG474,P474,IF(AND(AF474&gt;=AG474,AF474&lt;=AE474),(P474-T474),IF(AND(AG474&lt;=AD474,AE474&gt;=AD474),0,IF(AF474&gt;AE474,((AG474-AD474)*12)*Q474,0)))))</f>
        <v>229.25</v>
      </c>
      <c r="Y474" s="286">
        <f t="shared" ref="Y474:Y475" si="1159">X474*U474</f>
        <v>229.25</v>
      </c>
      <c r="Z474" s="286">
        <v>1</v>
      </c>
      <c r="AA474" s="286">
        <f t="shared" ref="AA474:AA475" si="1160">Y474*Z474</f>
        <v>229.25</v>
      </c>
      <c r="AB474" s="286">
        <f t="shared" ref="AB474:AB475" si="1161">IF(O474&gt;0,0,AA474+V474*Z474)*Z474</f>
        <v>360.25</v>
      </c>
      <c r="AC474" s="286">
        <f t="shared" ref="AC474:AC475" si="1162">IF(O474&gt;0,(N474-AA474)/2,IF(AD474&gt;=AG474,(((N474*U474)*Z474)-AB474)/2,((((N474*U474)*Z474)-AA474)+(((N474*U474)*Z474)-AB474))/2))</f>
        <v>360.25</v>
      </c>
      <c r="AD474" s="286">
        <f t="shared" si="1130"/>
        <v>2015.25</v>
      </c>
      <c r="AE474" s="286">
        <f t="shared" si="1131"/>
        <v>2018</v>
      </c>
      <c r="AF474" s="286">
        <f t="shared" si="1132"/>
        <v>2020.25</v>
      </c>
      <c r="AG474" s="286">
        <f t="shared" si="1133"/>
        <v>2017</v>
      </c>
      <c r="AH474" s="286">
        <f t="shared" si="1134"/>
        <v>-8.3333333333333329E-2</v>
      </c>
      <c r="AJ474" s="11">
        <f t="shared" si="1135"/>
        <v>0</v>
      </c>
      <c r="AL474" s="11">
        <f t="shared" si="1136"/>
        <v>131</v>
      </c>
      <c r="AN474" s="11">
        <f t="shared" si="1137"/>
        <v>0</v>
      </c>
      <c r="AP474" s="11">
        <f t="shared" si="1138"/>
        <v>0</v>
      </c>
      <c r="AR474" s="11">
        <f t="shared" si="1139"/>
        <v>360.25</v>
      </c>
    </row>
    <row r="475" spans="1:44">
      <c r="A475" s="282">
        <v>169283</v>
      </c>
      <c r="C475" s="282" t="s">
        <v>273</v>
      </c>
      <c r="D475" s="282" t="s">
        <v>349</v>
      </c>
      <c r="E475" s="282">
        <v>2016</v>
      </c>
      <c r="F475" s="284">
        <v>9</v>
      </c>
      <c r="G475" s="307">
        <v>0</v>
      </c>
      <c r="H475" s="284"/>
      <c r="I475" s="308" t="s">
        <v>86</v>
      </c>
      <c r="J475" s="284">
        <v>2</v>
      </c>
      <c r="K475" s="309">
        <f t="shared" ref="K475" si="1163">E475+J475</f>
        <v>2018</v>
      </c>
      <c r="N475" s="285">
        <v>1425.16</v>
      </c>
      <c r="P475" s="286">
        <f t="shared" ref="P475" si="1164">N475-N475*G475</f>
        <v>1425.16</v>
      </c>
      <c r="Q475" s="286">
        <f t="shared" ref="Q475" si="1165">P475/J475/12</f>
        <v>59.381666666666668</v>
      </c>
      <c r="R475" s="286">
        <f t="shared" si="1155"/>
        <v>712.58</v>
      </c>
      <c r="T475" s="286">
        <f t="shared" si="1156"/>
        <v>712.58</v>
      </c>
      <c r="U475" s="286">
        <v>1</v>
      </c>
      <c r="V475" s="286">
        <f t="shared" si="1157"/>
        <v>712.58</v>
      </c>
      <c r="W475" s="286"/>
      <c r="X475" s="286">
        <f t="shared" si="1158"/>
        <v>237.52666666661267</v>
      </c>
      <c r="Y475" s="286">
        <f t="shared" si="1159"/>
        <v>237.52666666661267</v>
      </c>
      <c r="Z475" s="286">
        <v>1</v>
      </c>
      <c r="AA475" s="286">
        <f t="shared" si="1160"/>
        <v>237.52666666661267</v>
      </c>
      <c r="AB475" s="286">
        <f t="shared" si="1161"/>
        <v>950.10666666661268</v>
      </c>
      <c r="AC475" s="286">
        <f t="shared" si="1162"/>
        <v>831.34333333338736</v>
      </c>
      <c r="AD475" s="286">
        <f t="shared" si="1130"/>
        <v>2016.6666666666667</v>
      </c>
      <c r="AE475" s="286">
        <f t="shared" si="1131"/>
        <v>2018</v>
      </c>
      <c r="AF475" s="286">
        <f t="shared" si="1132"/>
        <v>2018.6666666666667</v>
      </c>
      <c r="AG475" s="286">
        <f t="shared" si="1133"/>
        <v>2017</v>
      </c>
      <c r="AH475" s="286">
        <f t="shared" si="1134"/>
        <v>-8.3333333333333329E-2</v>
      </c>
      <c r="AJ475" s="11">
        <f t="shared" si="1135"/>
        <v>0</v>
      </c>
      <c r="AL475" s="11">
        <f t="shared" si="1136"/>
        <v>712.58</v>
      </c>
      <c r="AN475" s="11">
        <f t="shared" si="1137"/>
        <v>0</v>
      </c>
      <c r="AP475" s="11">
        <f t="shared" si="1138"/>
        <v>0</v>
      </c>
      <c r="AR475" s="11">
        <f t="shared" si="1139"/>
        <v>831.34333333338736</v>
      </c>
    </row>
    <row r="476" spans="1:44">
      <c r="A476" s="282">
        <v>170294</v>
      </c>
      <c r="C476" s="282" t="s">
        <v>273</v>
      </c>
      <c r="D476" s="282" t="s">
        <v>266</v>
      </c>
      <c r="E476" s="282">
        <v>2016</v>
      </c>
      <c r="F476" s="284">
        <v>11</v>
      </c>
      <c r="G476" s="307">
        <v>0</v>
      </c>
      <c r="H476" s="284"/>
      <c r="I476" s="308" t="s">
        <v>86</v>
      </c>
      <c r="J476" s="284">
        <v>5</v>
      </c>
      <c r="K476" s="309">
        <f t="shared" ref="K476:K480" si="1166">E476+J476</f>
        <v>2021</v>
      </c>
      <c r="N476" s="285">
        <v>9460.1200000000008</v>
      </c>
      <c r="P476" s="286">
        <f t="shared" ref="P476" si="1167">N476-N476*G476</f>
        <v>9460.1200000000008</v>
      </c>
      <c r="Q476" s="286">
        <f t="shared" ref="Q476" si="1168">P476/J476/12</f>
        <v>157.66866666666667</v>
      </c>
      <c r="R476" s="286">
        <f t="shared" ref="R476" si="1169">IF(O476&gt;0,0,IF(OR(AD476&gt;AE476,AF476&lt;AG476),0,IF(AND(AF476&gt;=AG476,AF476&lt;=AE476),Q476*((AF476-AG476)*12),IF(AND(AG476&lt;=AD476,AE476&gt;=AD476),((AE476-AD476)*12)*Q476,IF(AF476&gt;AE476,12*Q476,0)))))</f>
        <v>1892.0239999999999</v>
      </c>
      <c r="T476" s="286">
        <f t="shared" ref="T476" si="1170">IF(S476&gt;0,S476,R476)</f>
        <v>1892.0239999999999</v>
      </c>
      <c r="U476" s="286">
        <v>1</v>
      </c>
      <c r="V476" s="286">
        <f t="shared" ref="V476" si="1171">U476*SUM(R476:S476)</f>
        <v>1892.0239999999999</v>
      </c>
      <c r="W476" s="286"/>
      <c r="X476" s="286">
        <f t="shared" ref="X476" si="1172">IF(AD476&gt;AE476,0,IF(AF476&lt;AG476,P476,IF(AND(AF476&gt;=AG476,AF476&lt;=AE476),(P476-T476),IF(AND(AG476&lt;=AD476,AE476&gt;=AD476),0,IF(AF476&gt;AE476,((AG476-AD476)*12)*Q476,0)))))</f>
        <v>315.33733333347675</v>
      </c>
      <c r="Y476" s="286">
        <f t="shared" ref="Y476" si="1173">X476*U476</f>
        <v>315.33733333347675</v>
      </c>
      <c r="Z476" s="286">
        <v>1</v>
      </c>
      <c r="AA476" s="286">
        <f t="shared" ref="AA476" si="1174">Y476*Z476</f>
        <v>315.33733333347675</v>
      </c>
      <c r="AB476" s="286">
        <f t="shared" ref="AB476" si="1175">IF(O476&gt;0,0,AA476+V476*Z476)*Z476</f>
        <v>2207.3613333334765</v>
      </c>
      <c r="AC476" s="286">
        <f t="shared" ref="AC476" si="1176">IF(O476&gt;0,(N476-AA476)/2,IF(AD476&gt;=AG476,(((N476*U476)*Z476)-AB476)/2,((((N476*U476)*Z476)-AA476)+(((N476*U476)*Z476)-AB476))/2))</f>
        <v>8198.7706666665254</v>
      </c>
      <c r="AD476" s="286">
        <f t="shared" si="1130"/>
        <v>2016.8333333333333</v>
      </c>
      <c r="AE476" s="286">
        <f t="shared" si="1131"/>
        <v>2018</v>
      </c>
      <c r="AF476" s="286">
        <f t="shared" si="1132"/>
        <v>2021.8333333333333</v>
      </c>
      <c r="AG476" s="286">
        <f t="shared" si="1133"/>
        <v>2017</v>
      </c>
      <c r="AH476" s="286">
        <f t="shared" si="1134"/>
        <v>-8.3333333333333329E-2</v>
      </c>
      <c r="AJ476" s="11">
        <f t="shared" si="1135"/>
        <v>0</v>
      </c>
      <c r="AL476" s="11">
        <f t="shared" si="1136"/>
        <v>1892.0239999999999</v>
      </c>
      <c r="AN476" s="11">
        <f t="shared" si="1137"/>
        <v>0</v>
      </c>
      <c r="AP476" s="11">
        <f t="shared" si="1138"/>
        <v>0</v>
      </c>
      <c r="AR476" s="11">
        <f t="shared" si="1139"/>
        <v>8198.7706666665254</v>
      </c>
    </row>
    <row r="477" spans="1:44">
      <c r="A477" s="282">
        <v>183282</v>
      </c>
      <c r="D477" s="282" t="s">
        <v>376</v>
      </c>
      <c r="E477" s="282">
        <v>2017</v>
      </c>
      <c r="F477" s="284">
        <v>5</v>
      </c>
      <c r="G477" s="307">
        <v>0</v>
      </c>
      <c r="H477" s="284"/>
      <c r="I477" s="308" t="s">
        <v>86</v>
      </c>
      <c r="J477" s="284">
        <v>3</v>
      </c>
      <c r="K477" s="309">
        <f t="shared" si="1166"/>
        <v>2020</v>
      </c>
      <c r="N477" s="285">
        <v>510.23</v>
      </c>
      <c r="P477" s="286">
        <f t="shared" ref="P477" si="1177">N477-N477*G477</f>
        <v>510.23</v>
      </c>
      <c r="Q477" s="286">
        <f t="shared" ref="Q477" si="1178">P477/J477/12</f>
        <v>14.173055555555557</v>
      </c>
      <c r="R477" s="286">
        <f t="shared" ref="R477" si="1179">IF(O477&gt;0,0,IF(OR(AD477&gt;AE477,AF477&lt;AG477),0,IF(AND(AF477&gt;=AG477,AF477&lt;=AE477),Q477*((AF477-AG477)*12),IF(AND(AG477&lt;=AD477,AE477&gt;=AD477),((AE477-AD477)*12)*Q477,IF(AF477&gt;AE477,12*Q477,0)))))</f>
        <v>113.38444444445734</v>
      </c>
      <c r="T477" s="286">
        <f t="shared" ref="T477" si="1180">IF(S477&gt;0,S477,R477)</f>
        <v>113.38444444445734</v>
      </c>
      <c r="U477" s="286">
        <v>1</v>
      </c>
      <c r="V477" s="286">
        <f t="shared" ref="V477" si="1181">U477*SUM(R477:S477)</f>
        <v>113.38444444445734</v>
      </c>
      <c r="W477" s="286"/>
      <c r="X477" s="286">
        <f t="shared" ref="X477" si="1182">IF(AD477&gt;AE477,0,IF(AF477&lt;AG477,P477,IF(AND(AF477&gt;=AG477,AF477&lt;=AE477),(P477-T477),IF(AND(AG477&lt;=AD477,AE477&gt;=AD477),0,IF(AF477&gt;AE477,((AG477-AD477)*12)*Q477,0)))))</f>
        <v>0</v>
      </c>
      <c r="Y477" s="286">
        <f t="shared" ref="Y477" si="1183">X477*U477</f>
        <v>0</v>
      </c>
      <c r="Z477" s="286">
        <v>1</v>
      </c>
      <c r="AA477" s="286">
        <f t="shared" ref="AA477" si="1184">Y477*Z477</f>
        <v>0</v>
      </c>
      <c r="AB477" s="286">
        <f t="shared" ref="AB477" si="1185">IF(O477&gt;0,0,AA477+V477*Z477)*Z477</f>
        <v>113.38444444445734</v>
      </c>
      <c r="AC477" s="286">
        <f t="shared" ref="AC477" si="1186">IF(O477&gt;0,(N477-AA477)/2,IF(AD477&gt;=AG477,(((N477*U477)*Z477)-AB477)/2,((((N477*U477)*Z477)-AA477)+(((N477*U477)*Z477)-AB477))/2))</f>
        <v>198.42277777777133</v>
      </c>
      <c r="AD477" s="286">
        <f t="shared" si="1130"/>
        <v>2017.3333333333333</v>
      </c>
      <c r="AE477" s="286">
        <f t="shared" si="1131"/>
        <v>2018</v>
      </c>
      <c r="AF477" s="286">
        <f t="shared" si="1132"/>
        <v>2020.3333333333333</v>
      </c>
      <c r="AG477" s="286">
        <f t="shared" si="1133"/>
        <v>2017</v>
      </c>
      <c r="AH477" s="286">
        <f t="shared" si="1134"/>
        <v>-8.3333333333333329E-2</v>
      </c>
      <c r="AJ477" s="11">
        <f t="shared" si="1135"/>
        <v>0</v>
      </c>
      <c r="AL477" s="11">
        <f t="shared" si="1136"/>
        <v>113.38444444445734</v>
      </c>
      <c r="AN477" s="11">
        <f t="shared" si="1137"/>
        <v>0</v>
      </c>
      <c r="AP477" s="11">
        <f t="shared" si="1138"/>
        <v>0</v>
      </c>
      <c r="AR477" s="11">
        <f t="shared" si="1139"/>
        <v>198.42277777777133</v>
      </c>
    </row>
    <row r="478" spans="1:44">
      <c r="A478" s="282">
        <v>182212</v>
      </c>
      <c r="D478" s="282" t="s">
        <v>390</v>
      </c>
      <c r="E478" s="282">
        <v>2017</v>
      </c>
      <c r="F478" s="284">
        <v>5</v>
      </c>
      <c r="G478" s="307">
        <v>0</v>
      </c>
      <c r="H478" s="284"/>
      <c r="I478" s="308" t="s">
        <v>86</v>
      </c>
      <c r="J478" s="284">
        <v>3</v>
      </c>
      <c r="K478" s="309">
        <f t="shared" si="1166"/>
        <v>2020</v>
      </c>
      <c r="N478" s="285">
        <v>1360.13</v>
      </c>
      <c r="P478" s="286">
        <f t="shared" ref="P478" si="1187">N478-N478*G478</f>
        <v>1360.13</v>
      </c>
      <c r="Q478" s="286">
        <f t="shared" ref="Q478" si="1188">P478/J478/12</f>
        <v>37.781388888888891</v>
      </c>
      <c r="R478" s="286">
        <f t="shared" ref="R478" si="1189">IF(O478&gt;0,0,IF(OR(AD478&gt;AE478,AF478&lt;AG478),0,IF(AND(AF478&gt;=AG478,AF478&lt;=AE478),Q478*((AF478-AG478)*12),IF(AND(AG478&lt;=AD478,AE478&gt;=AD478),((AE478-AD478)*12)*Q478,IF(AF478&gt;AE478,12*Q478,0)))))</f>
        <v>302.25111111114552</v>
      </c>
      <c r="T478" s="286">
        <f t="shared" ref="T478" si="1190">IF(S478&gt;0,S478,R478)</f>
        <v>302.25111111114552</v>
      </c>
      <c r="U478" s="286">
        <v>1</v>
      </c>
      <c r="V478" s="286">
        <f t="shared" ref="V478" si="1191">U478*SUM(R478:S478)</f>
        <v>302.25111111114552</v>
      </c>
      <c r="W478" s="286"/>
      <c r="X478" s="286">
        <f t="shared" ref="X478" si="1192">IF(AD478&gt;AE478,0,IF(AF478&lt;AG478,P478,IF(AND(AF478&gt;=AG478,AF478&lt;=AE478),(P478-T478),IF(AND(AG478&lt;=AD478,AE478&gt;=AD478),0,IF(AF478&gt;AE478,((AG478-AD478)*12)*Q478,0)))))</f>
        <v>0</v>
      </c>
      <c r="Y478" s="286">
        <f t="shared" ref="Y478" si="1193">X478*U478</f>
        <v>0</v>
      </c>
      <c r="Z478" s="286">
        <v>1</v>
      </c>
      <c r="AA478" s="286">
        <f t="shared" ref="AA478" si="1194">Y478*Z478</f>
        <v>0</v>
      </c>
      <c r="AB478" s="286">
        <f t="shared" ref="AB478" si="1195">IF(O478&gt;0,0,AA478+V478*Z478)*Z478</f>
        <v>302.25111111114552</v>
      </c>
      <c r="AC478" s="286">
        <f t="shared" ref="AC478" si="1196">IF(O478&gt;0,(N478-AA478)/2,IF(AD478&gt;=AG478,(((N478*U478)*Z478)-AB478)/2,((((N478*U478)*Z478)-AA478)+(((N478*U478)*Z478)-AB478))/2))</f>
        <v>528.93944444442729</v>
      </c>
      <c r="AD478" s="286">
        <f t="shared" si="1130"/>
        <v>2017.3333333333333</v>
      </c>
      <c r="AE478" s="286">
        <f t="shared" si="1131"/>
        <v>2018</v>
      </c>
      <c r="AF478" s="286">
        <f t="shared" si="1132"/>
        <v>2020.3333333333333</v>
      </c>
      <c r="AG478" s="286">
        <f t="shared" si="1133"/>
        <v>2017</v>
      </c>
      <c r="AH478" s="286">
        <f t="shared" si="1134"/>
        <v>-8.3333333333333329E-2</v>
      </c>
      <c r="AJ478" s="11">
        <f t="shared" si="1135"/>
        <v>0</v>
      </c>
      <c r="AL478" s="11">
        <f t="shared" si="1136"/>
        <v>302.25111111114552</v>
      </c>
      <c r="AN478" s="11">
        <f t="shared" si="1137"/>
        <v>0</v>
      </c>
      <c r="AP478" s="11">
        <f t="shared" si="1138"/>
        <v>0</v>
      </c>
      <c r="AR478" s="11">
        <f t="shared" si="1139"/>
        <v>528.93944444442729</v>
      </c>
    </row>
    <row r="479" spans="1:44">
      <c r="A479" s="282">
        <v>182211</v>
      </c>
      <c r="D479" s="282" t="s">
        <v>391</v>
      </c>
      <c r="E479" s="282">
        <v>2017</v>
      </c>
      <c r="F479" s="284">
        <v>4</v>
      </c>
      <c r="G479" s="307">
        <v>0</v>
      </c>
      <c r="H479" s="284"/>
      <c r="I479" s="308" t="s">
        <v>86</v>
      </c>
      <c r="J479" s="284">
        <v>3</v>
      </c>
      <c r="K479" s="309">
        <f t="shared" si="1166"/>
        <v>2020</v>
      </c>
      <c r="N479" s="285">
        <v>1016.67</v>
      </c>
      <c r="P479" s="286">
        <f t="shared" ref="P479:P480" si="1197">N479-N479*G479</f>
        <v>1016.67</v>
      </c>
      <c r="Q479" s="286">
        <f t="shared" ref="Q479:Q480" si="1198">P479/J479/12</f>
        <v>28.240833333333331</v>
      </c>
      <c r="R479" s="286">
        <f t="shared" ref="R479" si="1199">IF(O479&gt;0,0,IF(OR(AD479&gt;AE479,AF479&lt;AG479),0,IF(AND(AF479&gt;=AG479,AF479&lt;=AE479),Q479*((AF479-AG479)*12),IF(AND(AG479&lt;=AD479,AE479&gt;=AD479),((AE479-AD479)*12)*Q479,IF(AF479&gt;AE479,12*Q479,0)))))</f>
        <v>254.16749999999999</v>
      </c>
      <c r="T479" s="286">
        <f t="shared" ref="T479" si="1200">IF(S479&gt;0,S479,R479)</f>
        <v>254.16749999999999</v>
      </c>
      <c r="U479" s="286">
        <v>1</v>
      </c>
      <c r="V479" s="286">
        <f t="shared" ref="V479" si="1201">U479*SUM(R479:S479)</f>
        <v>254.16749999999999</v>
      </c>
      <c r="W479" s="286"/>
      <c r="X479" s="286">
        <f t="shared" ref="X479" si="1202">IF(AD479&gt;AE479,0,IF(AF479&lt;AG479,P479,IF(AND(AF479&gt;=AG479,AF479&lt;=AE479),(P479-T479),IF(AND(AG479&lt;=AD479,AE479&gt;=AD479),0,IF(AF479&gt;AE479,((AG479-AD479)*12)*Q479,0)))))</f>
        <v>0</v>
      </c>
      <c r="Y479" s="286">
        <f t="shared" ref="Y479" si="1203">X479*U479</f>
        <v>0</v>
      </c>
      <c r="Z479" s="286">
        <v>1</v>
      </c>
      <c r="AA479" s="286">
        <f t="shared" ref="AA479" si="1204">Y479*Z479</f>
        <v>0</v>
      </c>
      <c r="AB479" s="286">
        <f t="shared" ref="AB479" si="1205">IF(O479&gt;0,0,AA479+V479*Z479)*Z479</f>
        <v>254.16749999999999</v>
      </c>
      <c r="AC479" s="286">
        <f t="shared" ref="AC479" si="1206">IF(O479&gt;0,(N479-AA479)/2,IF(AD479&gt;=AG479,(((N479*U479)*Z479)-AB479)/2,((((N479*U479)*Z479)-AA479)+(((N479*U479)*Z479)-AB479))/2))</f>
        <v>381.25124999999997</v>
      </c>
      <c r="AD479" s="286">
        <f t="shared" si="1130"/>
        <v>2017.25</v>
      </c>
      <c r="AE479" s="286">
        <f t="shared" si="1131"/>
        <v>2018</v>
      </c>
      <c r="AF479" s="286">
        <f t="shared" si="1132"/>
        <v>2020.25</v>
      </c>
      <c r="AG479" s="286">
        <f t="shared" si="1133"/>
        <v>2017</v>
      </c>
      <c r="AH479" s="286">
        <f t="shared" si="1134"/>
        <v>-8.3333333333333329E-2</v>
      </c>
      <c r="AJ479" s="11">
        <f t="shared" si="1135"/>
        <v>0</v>
      </c>
      <c r="AL479" s="11">
        <f t="shared" si="1136"/>
        <v>254.16749999999999</v>
      </c>
      <c r="AN479" s="11">
        <f t="shared" si="1137"/>
        <v>0</v>
      </c>
      <c r="AP479" s="11">
        <f t="shared" si="1138"/>
        <v>0</v>
      </c>
      <c r="AR479" s="11">
        <f t="shared" si="1139"/>
        <v>381.25124999999997</v>
      </c>
    </row>
    <row r="480" spans="1:44">
      <c r="A480" s="282">
        <v>182210</v>
      </c>
      <c r="D480" s="282" t="s">
        <v>392</v>
      </c>
      <c r="E480" s="282">
        <v>2017</v>
      </c>
      <c r="F480" s="284">
        <v>4</v>
      </c>
      <c r="G480" s="307">
        <v>0</v>
      </c>
      <c r="H480" s="284"/>
      <c r="I480" s="308" t="s">
        <v>86</v>
      </c>
      <c r="J480" s="284">
        <v>3</v>
      </c>
      <c r="K480" s="309">
        <f t="shared" si="1166"/>
        <v>2020</v>
      </c>
      <c r="N480" s="285">
        <v>1016.66</v>
      </c>
      <c r="P480" s="286">
        <f t="shared" si="1197"/>
        <v>1016.66</v>
      </c>
      <c r="Q480" s="286">
        <f t="shared" si="1198"/>
        <v>28.240555555555556</v>
      </c>
      <c r="R480" s="286">
        <f t="shared" ref="R480" si="1207">IF(O480&gt;0,0,IF(OR(AD480&gt;AE480,AF480&lt;AG480),0,IF(AND(AF480&gt;=AG480,AF480&lt;=AE480),Q480*((AF480-AG480)*12),IF(AND(AG480&lt;=AD480,AE480&gt;=AD480),((AE480-AD480)*12)*Q480,IF(AF480&gt;AE480,12*Q480,0)))))</f>
        <v>254.16499999999999</v>
      </c>
      <c r="T480" s="286">
        <f t="shared" ref="T480" si="1208">IF(S480&gt;0,S480,R480)</f>
        <v>254.16499999999999</v>
      </c>
      <c r="U480" s="286">
        <v>1</v>
      </c>
      <c r="V480" s="286">
        <f t="shared" ref="V480" si="1209">U480*SUM(R480:S480)</f>
        <v>254.16499999999999</v>
      </c>
      <c r="W480" s="286"/>
      <c r="X480" s="286">
        <f t="shared" ref="X480" si="1210">IF(AD480&gt;AE480,0,IF(AF480&lt;AG480,P480,IF(AND(AF480&gt;=AG480,AF480&lt;=AE480),(P480-T480),IF(AND(AG480&lt;=AD480,AE480&gt;=AD480),0,IF(AF480&gt;AE480,((AG480-AD480)*12)*Q480,0)))))</f>
        <v>0</v>
      </c>
      <c r="Y480" s="286">
        <f t="shared" ref="Y480" si="1211">X480*U480</f>
        <v>0</v>
      </c>
      <c r="Z480" s="286">
        <v>1</v>
      </c>
      <c r="AA480" s="286">
        <f t="shared" ref="AA480" si="1212">Y480*Z480</f>
        <v>0</v>
      </c>
      <c r="AB480" s="286">
        <f t="shared" ref="AB480" si="1213">IF(O480&gt;0,0,AA480+V480*Z480)*Z480</f>
        <v>254.16499999999999</v>
      </c>
      <c r="AC480" s="286">
        <f t="shared" ref="AC480" si="1214">IF(O480&gt;0,(N480-AA480)/2,IF(AD480&gt;=AG480,(((N480*U480)*Z480)-AB480)/2,((((N480*U480)*Z480)-AA480)+(((N480*U480)*Z480)-AB480))/2))</f>
        <v>381.2475</v>
      </c>
      <c r="AD480" s="286">
        <f t="shared" si="1130"/>
        <v>2017.25</v>
      </c>
      <c r="AE480" s="286">
        <f t="shared" si="1131"/>
        <v>2018</v>
      </c>
      <c r="AF480" s="286">
        <f t="shared" si="1132"/>
        <v>2020.25</v>
      </c>
      <c r="AG480" s="286">
        <f t="shared" si="1133"/>
        <v>2017</v>
      </c>
      <c r="AH480" s="286">
        <f t="shared" si="1134"/>
        <v>-8.3333333333333329E-2</v>
      </c>
      <c r="AJ480" s="11">
        <f t="shared" si="1135"/>
        <v>0</v>
      </c>
      <c r="AL480" s="11">
        <f t="shared" si="1136"/>
        <v>254.16499999999999</v>
      </c>
      <c r="AN480" s="11">
        <f t="shared" si="1137"/>
        <v>0</v>
      </c>
      <c r="AP480" s="11">
        <f t="shared" si="1138"/>
        <v>0</v>
      </c>
      <c r="AR480" s="11">
        <f t="shared" si="1139"/>
        <v>381.2475</v>
      </c>
    </row>
    <row r="481" spans="1:44">
      <c r="I481" s="308"/>
      <c r="K481" s="309"/>
      <c r="N481" s="333"/>
      <c r="P481" s="286"/>
      <c r="Q481" s="286"/>
      <c r="R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</row>
    <row r="482" spans="1:44">
      <c r="D482" s="311" t="s">
        <v>275</v>
      </c>
      <c r="I482" s="308"/>
      <c r="K482" s="309"/>
      <c r="N482" s="319">
        <f>SUM(N448:N481)</f>
        <v>78344.360000000015</v>
      </c>
      <c r="O482" s="327"/>
      <c r="P482" s="315">
        <f t="shared" ref="P482:AC482" si="1215">SUM(P448:P481)</f>
        <v>78344.360000000015</v>
      </c>
      <c r="Q482" s="315">
        <f t="shared" si="1215"/>
        <v>1361.4950476190477</v>
      </c>
      <c r="R482" s="315">
        <f t="shared" si="1215"/>
        <v>3925.5133888889218</v>
      </c>
      <c r="S482" s="315">
        <f t="shared" si="1215"/>
        <v>0</v>
      </c>
      <c r="T482" s="315">
        <f t="shared" si="1215"/>
        <v>3925.5133888889218</v>
      </c>
      <c r="U482" s="315">
        <f t="shared" si="1215"/>
        <v>33</v>
      </c>
      <c r="V482" s="315">
        <f t="shared" si="1215"/>
        <v>3925.5133888889218</v>
      </c>
      <c r="W482" s="315">
        <f t="shared" si="1215"/>
        <v>0</v>
      </c>
      <c r="X482" s="315">
        <f t="shared" si="1215"/>
        <v>63163.302666666772</v>
      </c>
      <c r="Y482" s="315">
        <f t="shared" si="1215"/>
        <v>63163.302666666772</v>
      </c>
      <c r="Z482" s="315">
        <f t="shared" si="1215"/>
        <v>33</v>
      </c>
      <c r="AA482" s="315">
        <f t="shared" si="1215"/>
        <v>63163.302666666772</v>
      </c>
      <c r="AB482" s="315">
        <f t="shared" si="1215"/>
        <v>67088.816055555697</v>
      </c>
      <c r="AC482" s="315">
        <f t="shared" si="1215"/>
        <v>11266.45563888877</v>
      </c>
      <c r="AD482" s="323"/>
      <c r="AE482" s="323"/>
      <c r="AF482" s="323"/>
      <c r="AG482" s="323"/>
      <c r="AH482" s="323"/>
      <c r="AJ482" s="7">
        <f t="shared" ref="AJ482:AR482" si="1216">SUM(AJ448:AJ481)</f>
        <v>0</v>
      </c>
      <c r="AK482" s="7">
        <f t="shared" si="1216"/>
        <v>0</v>
      </c>
      <c r="AL482" s="7">
        <f t="shared" si="1216"/>
        <v>3925.5133888889218</v>
      </c>
      <c r="AM482" s="7">
        <f t="shared" si="1216"/>
        <v>0</v>
      </c>
      <c r="AN482" s="7">
        <f t="shared" si="1216"/>
        <v>0</v>
      </c>
      <c r="AO482" s="7">
        <f t="shared" si="1216"/>
        <v>0</v>
      </c>
      <c r="AP482" s="7">
        <f t="shared" si="1216"/>
        <v>0</v>
      </c>
      <c r="AQ482" s="7">
        <f t="shared" si="1216"/>
        <v>0</v>
      </c>
      <c r="AR482" s="7">
        <f t="shared" si="1216"/>
        <v>11266.45563888877</v>
      </c>
    </row>
    <row r="484" spans="1:44">
      <c r="D484" s="311" t="s">
        <v>305</v>
      </c>
      <c r="AJ484" s="11">
        <f t="shared" ref="AJ484:AJ500" si="1217">+IF((AF484-AG484)&gt;3,((N484-P484)/(AF484-AG484)),(N484-P484)/3)</f>
        <v>0</v>
      </c>
      <c r="AL484" s="11">
        <f t="shared" ref="AL484:AL500" si="1218">+AJ484+R484</f>
        <v>0</v>
      </c>
      <c r="AN484" s="11">
        <f t="shared" ref="AN484:AN500" si="1219">+IF(AF484&lt;AG484,-AC484,0)</f>
        <v>0</v>
      </c>
      <c r="AP484" s="11">
        <f t="shared" ref="AP484:AP500" si="1220">+IF(AF484&gt;AG484,IF(AJ484&gt;0,IF(O484&gt;0,(N484-AA484)/2,IF(AD484&gt;=AG484,(((N484*U484)*Z484)-(AB484+AJ484))/2,((((N484*U484)*Z484)-AA484)+(((N484*U484)*Z484)-(AB484+AJ484)))/2)),0),0)</f>
        <v>0</v>
      </c>
      <c r="AR484" s="11">
        <f t="shared" ref="AR484:AR500" si="1221">+AC484+AN484+(IF(AP484&gt;0,(AP484-AC484),0))</f>
        <v>0</v>
      </c>
    </row>
    <row r="485" spans="1:44">
      <c r="D485" s="282" t="s">
        <v>276</v>
      </c>
      <c r="E485" s="282">
        <v>2003</v>
      </c>
      <c r="F485" s="284">
        <v>1</v>
      </c>
      <c r="G485" s="307">
        <v>0</v>
      </c>
      <c r="I485" s="308" t="s">
        <v>86</v>
      </c>
      <c r="J485" s="284">
        <v>5</v>
      </c>
      <c r="K485" s="309">
        <f t="shared" ref="K485:K500" si="1222">E485+J485</f>
        <v>2008</v>
      </c>
      <c r="N485" s="285">
        <v>896</v>
      </c>
      <c r="P485" s="286">
        <f t="shared" ref="P485:P497" si="1223">N485-N485*G485</f>
        <v>896</v>
      </c>
      <c r="Q485" s="286">
        <f t="shared" ref="Q485:Q497" si="1224">P485/J485/12</f>
        <v>14.933333333333332</v>
      </c>
      <c r="R485" s="286">
        <f t="shared" ref="R485:R494" si="1225">IF(O485&gt;0,0,IF(OR(AD485&gt;AE485,AF485&lt;AG485),0,IF(AND(AF485&gt;=AG485,AF485&lt;=AE485),Q485*((AF485-AG485)*12),IF(AND(AG485&lt;=AD485,AE485&gt;=AD485),((AE485-AD485)*12)*Q485,IF(AF485&gt;AE485,12*Q485,0)))))</f>
        <v>0</v>
      </c>
      <c r="T485" s="286">
        <f t="shared" ref="T485:T494" si="1226">IF(S485&gt;0,S485,R485)</f>
        <v>0</v>
      </c>
      <c r="U485" s="286">
        <v>1</v>
      </c>
      <c r="V485" s="286">
        <f t="shared" ref="V485:V494" si="1227">U485*SUM(R485:S485)</f>
        <v>0</v>
      </c>
      <c r="W485" s="286"/>
      <c r="X485" s="286">
        <f t="shared" ref="X485:X494" si="1228">IF(AD485&gt;AE485,0,IF(AF485&lt;AG485,P485,IF(AND(AF485&gt;=AG485,AF485&lt;=AE485),(P485-T485),IF(AND(AG485&lt;=AD485,AE485&gt;=AD485),0,IF(AF485&gt;AE485,((AG485-AD485)*12)*Q485,0)))))</f>
        <v>896</v>
      </c>
      <c r="Y485" s="286">
        <f t="shared" ref="Y485:Y494" si="1229">X485*U485</f>
        <v>896</v>
      </c>
      <c r="Z485" s="286">
        <v>1</v>
      </c>
      <c r="AA485" s="286">
        <f t="shared" ref="AA485:AA494" si="1230">Y485*Z485</f>
        <v>896</v>
      </c>
      <c r="AB485" s="286">
        <f t="shared" ref="AB485:AB494" si="1231">IF(O485&gt;0,0,AA485+V485*Z485)*Z485</f>
        <v>896</v>
      </c>
      <c r="AC485" s="286">
        <f t="shared" ref="AC485:AC494" si="1232">IF(O485&gt;0,(N485-AA485)/2,IF(AD485&gt;=AG485,(((N485*U485)*Z485)-AB485)/2,((((N485*U485)*Z485)-AA485)+(((N485*U485)*Z485)-AB485))/2))</f>
        <v>0</v>
      </c>
      <c r="AD485" s="286">
        <f t="shared" ref="AD485:AD500" si="1233">$E485+(($F485-1)/12)</f>
        <v>2003</v>
      </c>
      <c r="AE485" s="286">
        <f t="shared" ref="AE485:AE500" si="1234">($P$5+1)-($P$2/12)</f>
        <v>2018</v>
      </c>
      <c r="AF485" s="286">
        <f t="shared" ref="AF485:AF500" si="1235">$K485+(($F485-1)/12)</f>
        <v>2008</v>
      </c>
      <c r="AG485" s="286">
        <f t="shared" ref="AG485:AG500" si="1236">$P$4+($P$3/12)</f>
        <v>2017</v>
      </c>
      <c r="AH485" s="286">
        <f t="shared" ref="AH485:AH500" si="1237">$L485+(($M485-1)/12)</f>
        <v>-8.3333333333333329E-2</v>
      </c>
      <c r="AJ485" s="11">
        <f t="shared" si="1217"/>
        <v>0</v>
      </c>
      <c r="AL485" s="11">
        <f t="shared" si="1218"/>
        <v>0</v>
      </c>
      <c r="AN485" s="11">
        <f t="shared" si="1219"/>
        <v>0</v>
      </c>
      <c r="AP485" s="11">
        <f t="shared" si="1220"/>
        <v>0</v>
      </c>
      <c r="AR485" s="11">
        <f t="shared" si="1221"/>
        <v>0</v>
      </c>
    </row>
    <row r="486" spans="1:44">
      <c r="D486" s="282" t="s">
        <v>24</v>
      </c>
      <c r="E486" s="282">
        <v>2003</v>
      </c>
      <c r="F486" s="284">
        <v>1</v>
      </c>
      <c r="G486" s="307">
        <v>0</v>
      </c>
      <c r="I486" s="308" t="s">
        <v>86</v>
      </c>
      <c r="J486" s="284">
        <v>10</v>
      </c>
      <c r="K486" s="309">
        <f t="shared" si="1222"/>
        <v>2013</v>
      </c>
      <c r="N486" s="285">
        <v>11846</v>
      </c>
      <c r="P486" s="286">
        <f t="shared" si="1223"/>
        <v>11846</v>
      </c>
      <c r="Q486" s="286">
        <f t="shared" si="1224"/>
        <v>98.716666666666654</v>
      </c>
      <c r="R486" s="286">
        <f t="shared" si="1225"/>
        <v>0</v>
      </c>
      <c r="T486" s="286">
        <f t="shared" si="1226"/>
        <v>0</v>
      </c>
      <c r="U486" s="286">
        <v>1</v>
      </c>
      <c r="V486" s="286">
        <f t="shared" si="1227"/>
        <v>0</v>
      </c>
      <c r="W486" s="286"/>
      <c r="X486" s="286">
        <f t="shared" si="1228"/>
        <v>11846</v>
      </c>
      <c r="Y486" s="286">
        <f t="shared" si="1229"/>
        <v>11846</v>
      </c>
      <c r="Z486" s="286">
        <v>1</v>
      </c>
      <c r="AA486" s="286">
        <f t="shared" si="1230"/>
        <v>11846</v>
      </c>
      <c r="AB486" s="286">
        <f t="shared" si="1231"/>
        <v>11846</v>
      </c>
      <c r="AC486" s="286">
        <f t="shared" si="1232"/>
        <v>0</v>
      </c>
      <c r="AD486" s="286">
        <f t="shared" si="1233"/>
        <v>2003</v>
      </c>
      <c r="AE486" s="286">
        <f t="shared" si="1234"/>
        <v>2018</v>
      </c>
      <c r="AF486" s="286">
        <f t="shared" si="1235"/>
        <v>2013</v>
      </c>
      <c r="AG486" s="286">
        <f t="shared" si="1236"/>
        <v>2017</v>
      </c>
      <c r="AH486" s="286">
        <f t="shared" si="1237"/>
        <v>-8.3333333333333329E-2</v>
      </c>
      <c r="AJ486" s="11">
        <f t="shared" si="1217"/>
        <v>0</v>
      </c>
      <c r="AL486" s="11">
        <f t="shared" si="1218"/>
        <v>0</v>
      </c>
      <c r="AN486" s="11">
        <f t="shared" si="1219"/>
        <v>0</v>
      </c>
      <c r="AP486" s="11">
        <f t="shared" si="1220"/>
        <v>0</v>
      </c>
      <c r="AR486" s="11">
        <f t="shared" si="1221"/>
        <v>0</v>
      </c>
    </row>
    <row r="487" spans="1:44">
      <c r="D487" s="306" t="s">
        <v>277</v>
      </c>
      <c r="E487" s="282">
        <v>2005</v>
      </c>
      <c r="F487" s="284">
        <v>10</v>
      </c>
      <c r="G487" s="307">
        <v>0</v>
      </c>
      <c r="I487" s="308" t="s">
        <v>86</v>
      </c>
      <c r="J487" s="284">
        <v>10</v>
      </c>
      <c r="K487" s="309">
        <f t="shared" si="1222"/>
        <v>2015</v>
      </c>
      <c r="N487" s="285">
        <v>4273.5200000000004</v>
      </c>
      <c r="P487" s="286">
        <f t="shared" si="1223"/>
        <v>4273.5200000000004</v>
      </c>
      <c r="Q487" s="286">
        <f t="shared" si="1224"/>
        <v>35.612666666666669</v>
      </c>
      <c r="R487" s="286">
        <f t="shared" si="1225"/>
        <v>0</v>
      </c>
      <c r="T487" s="286">
        <f t="shared" si="1226"/>
        <v>0</v>
      </c>
      <c r="U487" s="286">
        <v>1</v>
      </c>
      <c r="V487" s="286">
        <f t="shared" si="1227"/>
        <v>0</v>
      </c>
      <c r="W487" s="286"/>
      <c r="X487" s="286">
        <f t="shared" si="1228"/>
        <v>4273.5200000000004</v>
      </c>
      <c r="Y487" s="286">
        <f t="shared" si="1229"/>
        <v>4273.5200000000004</v>
      </c>
      <c r="Z487" s="286">
        <v>1</v>
      </c>
      <c r="AA487" s="286">
        <f t="shared" si="1230"/>
        <v>4273.5200000000004</v>
      </c>
      <c r="AB487" s="286">
        <f t="shared" si="1231"/>
        <v>4273.5200000000004</v>
      </c>
      <c r="AC487" s="286">
        <f t="shared" si="1232"/>
        <v>0</v>
      </c>
      <c r="AD487" s="286">
        <f t="shared" si="1233"/>
        <v>2005.75</v>
      </c>
      <c r="AE487" s="286">
        <f t="shared" si="1234"/>
        <v>2018</v>
      </c>
      <c r="AF487" s="286">
        <f t="shared" si="1235"/>
        <v>2015.75</v>
      </c>
      <c r="AG487" s="286">
        <f t="shared" si="1236"/>
        <v>2017</v>
      </c>
      <c r="AH487" s="286">
        <f t="shared" si="1237"/>
        <v>-8.3333333333333329E-2</v>
      </c>
      <c r="AJ487" s="11">
        <f t="shared" si="1217"/>
        <v>0</v>
      </c>
      <c r="AL487" s="11">
        <f t="shared" si="1218"/>
        <v>0</v>
      </c>
      <c r="AN487" s="11">
        <f t="shared" si="1219"/>
        <v>0</v>
      </c>
      <c r="AP487" s="11">
        <f t="shared" si="1220"/>
        <v>0</v>
      </c>
      <c r="AR487" s="11">
        <f t="shared" si="1221"/>
        <v>0</v>
      </c>
    </row>
    <row r="488" spans="1:44">
      <c r="D488" s="306" t="s">
        <v>278</v>
      </c>
      <c r="E488" s="282">
        <v>2008</v>
      </c>
      <c r="F488" s="284">
        <v>5</v>
      </c>
      <c r="G488" s="307">
        <v>0</v>
      </c>
      <c r="I488" s="308" t="s">
        <v>86</v>
      </c>
      <c r="J488" s="284">
        <v>3</v>
      </c>
      <c r="K488" s="309">
        <f t="shared" si="1222"/>
        <v>2011</v>
      </c>
      <c r="N488" s="285">
        <v>2786.96</v>
      </c>
      <c r="P488" s="286">
        <f t="shared" si="1223"/>
        <v>2786.96</v>
      </c>
      <c r="Q488" s="286">
        <f t="shared" si="1224"/>
        <v>77.415555555555557</v>
      </c>
      <c r="R488" s="286">
        <f t="shared" si="1225"/>
        <v>0</v>
      </c>
      <c r="T488" s="286">
        <f t="shared" si="1226"/>
        <v>0</v>
      </c>
      <c r="U488" s="286">
        <v>1</v>
      </c>
      <c r="V488" s="286">
        <f t="shared" si="1227"/>
        <v>0</v>
      </c>
      <c r="W488" s="286"/>
      <c r="X488" s="286">
        <f t="shared" si="1228"/>
        <v>2786.96</v>
      </c>
      <c r="Y488" s="286">
        <f t="shared" si="1229"/>
        <v>2786.96</v>
      </c>
      <c r="Z488" s="286">
        <v>1</v>
      </c>
      <c r="AA488" s="286">
        <f t="shared" si="1230"/>
        <v>2786.96</v>
      </c>
      <c r="AB488" s="286">
        <f t="shared" si="1231"/>
        <v>2786.96</v>
      </c>
      <c r="AC488" s="286">
        <f t="shared" si="1232"/>
        <v>0</v>
      </c>
      <c r="AD488" s="286">
        <f t="shared" si="1233"/>
        <v>2008.3333333333333</v>
      </c>
      <c r="AE488" s="286">
        <f t="shared" si="1234"/>
        <v>2018</v>
      </c>
      <c r="AF488" s="286">
        <f t="shared" si="1235"/>
        <v>2011.3333333333333</v>
      </c>
      <c r="AG488" s="286">
        <f t="shared" si="1236"/>
        <v>2017</v>
      </c>
      <c r="AH488" s="286">
        <f t="shared" si="1237"/>
        <v>-8.3333333333333329E-2</v>
      </c>
      <c r="AJ488" s="11">
        <f t="shared" si="1217"/>
        <v>0</v>
      </c>
      <c r="AL488" s="11">
        <f t="shared" si="1218"/>
        <v>0</v>
      </c>
      <c r="AN488" s="11">
        <f t="shared" si="1219"/>
        <v>0</v>
      </c>
      <c r="AP488" s="11">
        <f t="shared" si="1220"/>
        <v>0</v>
      </c>
      <c r="AR488" s="11">
        <f t="shared" si="1221"/>
        <v>0</v>
      </c>
    </row>
    <row r="489" spans="1:44">
      <c r="D489" s="306" t="s">
        <v>279</v>
      </c>
      <c r="E489" s="282">
        <v>2009</v>
      </c>
      <c r="F489" s="284">
        <v>7</v>
      </c>
      <c r="G489" s="307">
        <v>0</v>
      </c>
      <c r="I489" s="308" t="s">
        <v>86</v>
      </c>
      <c r="J489" s="284">
        <v>10</v>
      </c>
      <c r="K489" s="309">
        <f t="shared" si="1222"/>
        <v>2019</v>
      </c>
      <c r="N489" s="285">
        <v>9000</v>
      </c>
      <c r="P489" s="286">
        <f t="shared" si="1223"/>
        <v>9000</v>
      </c>
      <c r="Q489" s="286">
        <f t="shared" si="1224"/>
        <v>75</v>
      </c>
      <c r="R489" s="286">
        <f t="shared" si="1225"/>
        <v>900</v>
      </c>
      <c r="T489" s="286">
        <f t="shared" si="1226"/>
        <v>900</v>
      </c>
      <c r="U489" s="286">
        <v>1</v>
      </c>
      <c r="V489" s="286">
        <f t="shared" si="1227"/>
        <v>900</v>
      </c>
      <c r="W489" s="286"/>
      <c r="X489" s="286">
        <f t="shared" si="1228"/>
        <v>6750</v>
      </c>
      <c r="Y489" s="286">
        <f t="shared" si="1229"/>
        <v>6750</v>
      </c>
      <c r="Z489" s="286">
        <v>1</v>
      </c>
      <c r="AA489" s="286">
        <f t="shared" si="1230"/>
        <v>6750</v>
      </c>
      <c r="AB489" s="286">
        <f t="shared" si="1231"/>
        <v>7650</v>
      </c>
      <c r="AC489" s="286">
        <f t="shared" si="1232"/>
        <v>1800</v>
      </c>
      <c r="AD489" s="286">
        <f t="shared" si="1233"/>
        <v>2009.5</v>
      </c>
      <c r="AE489" s="286">
        <f t="shared" si="1234"/>
        <v>2018</v>
      </c>
      <c r="AF489" s="286">
        <f t="shared" si="1235"/>
        <v>2019.5</v>
      </c>
      <c r="AG489" s="286">
        <f t="shared" si="1236"/>
        <v>2017</v>
      </c>
      <c r="AH489" s="286">
        <f t="shared" si="1237"/>
        <v>-8.3333333333333329E-2</v>
      </c>
      <c r="AJ489" s="11">
        <f t="shared" si="1217"/>
        <v>0</v>
      </c>
      <c r="AL489" s="11">
        <f t="shared" si="1218"/>
        <v>900</v>
      </c>
      <c r="AN489" s="11">
        <f t="shared" si="1219"/>
        <v>0</v>
      </c>
      <c r="AP489" s="11">
        <f t="shared" si="1220"/>
        <v>0</v>
      </c>
      <c r="AR489" s="11">
        <f t="shared" si="1221"/>
        <v>1800</v>
      </c>
    </row>
    <row r="490" spans="1:44">
      <c r="D490" s="306" t="s">
        <v>280</v>
      </c>
      <c r="E490" s="282">
        <v>2009</v>
      </c>
      <c r="F490" s="284">
        <v>7</v>
      </c>
      <c r="G490" s="307">
        <v>0</v>
      </c>
      <c r="I490" s="308" t="s">
        <v>86</v>
      </c>
      <c r="J490" s="284">
        <v>10</v>
      </c>
      <c r="K490" s="309">
        <f t="shared" si="1222"/>
        <v>2019</v>
      </c>
      <c r="N490" s="285">
        <v>9687</v>
      </c>
      <c r="P490" s="286">
        <f t="shared" si="1223"/>
        <v>9687</v>
      </c>
      <c r="Q490" s="286">
        <f t="shared" si="1224"/>
        <v>80.725000000000009</v>
      </c>
      <c r="R490" s="286">
        <f t="shared" si="1225"/>
        <v>968.7</v>
      </c>
      <c r="T490" s="286">
        <f t="shared" si="1226"/>
        <v>968.7</v>
      </c>
      <c r="U490" s="286">
        <v>1</v>
      </c>
      <c r="V490" s="286">
        <f t="shared" si="1227"/>
        <v>968.7</v>
      </c>
      <c r="W490" s="286"/>
      <c r="X490" s="286">
        <f t="shared" si="1228"/>
        <v>7265.2500000000009</v>
      </c>
      <c r="Y490" s="286">
        <f t="shared" si="1229"/>
        <v>7265.2500000000009</v>
      </c>
      <c r="Z490" s="286">
        <v>1</v>
      </c>
      <c r="AA490" s="286">
        <f t="shared" si="1230"/>
        <v>7265.2500000000009</v>
      </c>
      <c r="AB490" s="286">
        <f t="shared" si="1231"/>
        <v>8233.9500000000007</v>
      </c>
      <c r="AC490" s="286">
        <f t="shared" si="1232"/>
        <v>1937.3999999999992</v>
      </c>
      <c r="AD490" s="286">
        <f t="shared" si="1233"/>
        <v>2009.5</v>
      </c>
      <c r="AE490" s="286">
        <f t="shared" si="1234"/>
        <v>2018</v>
      </c>
      <c r="AF490" s="286">
        <f t="shared" si="1235"/>
        <v>2019.5</v>
      </c>
      <c r="AG490" s="286">
        <f t="shared" si="1236"/>
        <v>2017</v>
      </c>
      <c r="AH490" s="286">
        <f t="shared" si="1237"/>
        <v>-8.3333333333333329E-2</v>
      </c>
      <c r="AJ490" s="11">
        <f t="shared" si="1217"/>
        <v>0</v>
      </c>
      <c r="AL490" s="11">
        <f t="shared" si="1218"/>
        <v>968.7</v>
      </c>
      <c r="AN490" s="11">
        <f t="shared" si="1219"/>
        <v>0</v>
      </c>
      <c r="AP490" s="11">
        <f t="shared" si="1220"/>
        <v>0</v>
      </c>
      <c r="AR490" s="11">
        <f t="shared" si="1221"/>
        <v>1937.3999999999992</v>
      </c>
    </row>
    <row r="491" spans="1:44">
      <c r="D491" s="306" t="s">
        <v>281</v>
      </c>
      <c r="E491" s="282">
        <v>2010</v>
      </c>
      <c r="F491" s="284">
        <v>2</v>
      </c>
      <c r="G491" s="307">
        <v>0</v>
      </c>
      <c r="I491" s="308" t="s">
        <v>86</v>
      </c>
      <c r="J491" s="284">
        <v>10</v>
      </c>
      <c r="K491" s="309">
        <f t="shared" si="1222"/>
        <v>2020</v>
      </c>
      <c r="N491" s="285">
        <v>1470.45</v>
      </c>
      <c r="P491" s="286">
        <f t="shared" si="1223"/>
        <v>1470.45</v>
      </c>
      <c r="Q491" s="286">
        <f t="shared" si="1224"/>
        <v>12.253750000000002</v>
      </c>
      <c r="R491" s="286">
        <f t="shared" si="1225"/>
        <v>147.04500000000002</v>
      </c>
      <c r="T491" s="286">
        <f t="shared" si="1226"/>
        <v>147.04500000000002</v>
      </c>
      <c r="U491" s="286">
        <v>1</v>
      </c>
      <c r="V491" s="286">
        <f t="shared" si="1227"/>
        <v>147.04500000000002</v>
      </c>
      <c r="W491" s="286"/>
      <c r="X491" s="286">
        <f t="shared" si="1228"/>
        <v>1017.0612500000113</v>
      </c>
      <c r="Y491" s="286">
        <f t="shared" si="1229"/>
        <v>1017.0612500000113</v>
      </c>
      <c r="Z491" s="286">
        <v>1</v>
      </c>
      <c r="AA491" s="286">
        <f t="shared" si="1230"/>
        <v>1017.0612500000113</v>
      </c>
      <c r="AB491" s="286">
        <f t="shared" si="1231"/>
        <v>1164.1062500000114</v>
      </c>
      <c r="AC491" s="286">
        <f t="shared" si="1232"/>
        <v>379.86624999998867</v>
      </c>
      <c r="AD491" s="286">
        <f t="shared" si="1233"/>
        <v>2010.0833333333333</v>
      </c>
      <c r="AE491" s="286">
        <f t="shared" si="1234"/>
        <v>2018</v>
      </c>
      <c r="AF491" s="286">
        <f t="shared" si="1235"/>
        <v>2020.0833333333333</v>
      </c>
      <c r="AG491" s="286">
        <f t="shared" si="1236"/>
        <v>2017</v>
      </c>
      <c r="AH491" s="286">
        <f t="shared" si="1237"/>
        <v>-8.3333333333333329E-2</v>
      </c>
      <c r="AJ491" s="11">
        <f t="shared" si="1217"/>
        <v>0</v>
      </c>
      <c r="AL491" s="11">
        <f t="shared" si="1218"/>
        <v>147.04500000000002</v>
      </c>
      <c r="AN491" s="11">
        <f t="shared" si="1219"/>
        <v>0</v>
      </c>
      <c r="AP491" s="11">
        <f t="shared" si="1220"/>
        <v>0</v>
      </c>
      <c r="AR491" s="11">
        <f t="shared" si="1221"/>
        <v>379.86624999998867</v>
      </c>
    </row>
    <row r="492" spans="1:44">
      <c r="D492" s="306" t="s">
        <v>282</v>
      </c>
      <c r="E492" s="282">
        <v>2010</v>
      </c>
      <c r="F492" s="284">
        <v>7</v>
      </c>
      <c r="G492" s="307">
        <v>0</v>
      </c>
      <c r="I492" s="308" t="s">
        <v>86</v>
      </c>
      <c r="J492" s="284">
        <v>10</v>
      </c>
      <c r="K492" s="309">
        <f t="shared" si="1222"/>
        <v>2020</v>
      </c>
      <c r="N492" s="285">
        <v>65592.52</v>
      </c>
      <c r="P492" s="286">
        <f t="shared" si="1223"/>
        <v>65592.52</v>
      </c>
      <c r="Q492" s="286">
        <f t="shared" si="1224"/>
        <v>546.60433333333333</v>
      </c>
      <c r="R492" s="286">
        <f t="shared" si="1225"/>
        <v>6559.2520000000004</v>
      </c>
      <c r="T492" s="286">
        <f t="shared" si="1226"/>
        <v>6559.2520000000004</v>
      </c>
      <c r="U492" s="286">
        <v>1</v>
      </c>
      <c r="V492" s="286">
        <f t="shared" si="1227"/>
        <v>6559.2520000000004</v>
      </c>
      <c r="W492" s="286"/>
      <c r="X492" s="286">
        <f t="shared" si="1228"/>
        <v>42635.137999999999</v>
      </c>
      <c r="Y492" s="286">
        <f t="shared" si="1229"/>
        <v>42635.137999999999</v>
      </c>
      <c r="Z492" s="286">
        <v>1</v>
      </c>
      <c r="AA492" s="286">
        <f t="shared" si="1230"/>
        <v>42635.137999999999</v>
      </c>
      <c r="AB492" s="286">
        <f t="shared" si="1231"/>
        <v>49194.39</v>
      </c>
      <c r="AC492" s="286">
        <f t="shared" si="1232"/>
        <v>19677.756000000005</v>
      </c>
      <c r="AD492" s="286">
        <f t="shared" si="1233"/>
        <v>2010.5</v>
      </c>
      <c r="AE492" s="286">
        <f t="shared" si="1234"/>
        <v>2018</v>
      </c>
      <c r="AF492" s="286">
        <f t="shared" si="1235"/>
        <v>2020.5</v>
      </c>
      <c r="AG492" s="286">
        <f t="shared" si="1236"/>
        <v>2017</v>
      </c>
      <c r="AH492" s="286">
        <f t="shared" si="1237"/>
        <v>-8.3333333333333329E-2</v>
      </c>
      <c r="AJ492" s="11">
        <f t="shared" si="1217"/>
        <v>0</v>
      </c>
      <c r="AL492" s="11">
        <f t="shared" si="1218"/>
        <v>6559.2520000000004</v>
      </c>
      <c r="AN492" s="11">
        <f t="shared" si="1219"/>
        <v>0</v>
      </c>
      <c r="AP492" s="11">
        <f t="shared" si="1220"/>
        <v>0</v>
      </c>
      <c r="AR492" s="11">
        <f t="shared" si="1221"/>
        <v>19677.756000000005</v>
      </c>
    </row>
    <row r="493" spans="1:44">
      <c r="D493" s="306" t="s">
        <v>283</v>
      </c>
      <c r="E493" s="282">
        <v>2011</v>
      </c>
      <c r="F493" s="284">
        <v>3</v>
      </c>
      <c r="G493" s="307">
        <v>0</v>
      </c>
      <c r="I493" s="308" t="s">
        <v>86</v>
      </c>
      <c r="J493" s="284">
        <v>20</v>
      </c>
      <c r="K493" s="309">
        <f t="shared" si="1222"/>
        <v>2031</v>
      </c>
      <c r="N493" s="285">
        <f>613.03+85803.33+72899+2665+1853+730.63+67750+1738.83+58.38+2444.87+2444.88-N492</f>
        <v>173408.43</v>
      </c>
      <c r="P493" s="286">
        <f t="shared" si="1223"/>
        <v>173408.43</v>
      </c>
      <c r="Q493" s="286">
        <f t="shared" si="1224"/>
        <v>722.53512499999999</v>
      </c>
      <c r="R493" s="286">
        <f t="shared" si="1225"/>
        <v>8670.4215000000004</v>
      </c>
      <c r="T493" s="286">
        <f t="shared" si="1226"/>
        <v>8670.4215000000004</v>
      </c>
      <c r="U493" s="286">
        <v>1</v>
      </c>
      <c r="V493" s="286">
        <f t="shared" si="1227"/>
        <v>8670.4215000000004</v>
      </c>
      <c r="W493" s="286"/>
      <c r="X493" s="286">
        <f t="shared" si="1228"/>
        <v>50577.458749999343</v>
      </c>
      <c r="Y493" s="286">
        <f t="shared" si="1229"/>
        <v>50577.458749999343</v>
      </c>
      <c r="Z493" s="286">
        <v>1</v>
      </c>
      <c r="AA493" s="286">
        <f t="shared" si="1230"/>
        <v>50577.458749999343</v>
      </c>
      <c r="AB493" s="286">
        <f t="shared" si="1231"/>
        <v>59247.880249999347</v>
      </c>
      <c r="AC493" s="286">
        <f t="shared" si="1232"/>
        <v>118495.76050000064</v>
      </c>
      <c r="AD493" s="286">
        <f t="shared" si="1233"/>
        <v>2011.1666666666667</v>
      </c>
      <c r="AE493" s="286">
        <f t="shared" si="1234"/>
        <v>2018</v>
      </c>
      <c r="AF493" s="286">
        <f t="shared" si="1235"/>
        <v>2031.1666666666667</v>
      </c>
      <c r="AG493" s="286">
        <f t="shared" si="1236"/>
        <v>2017</v>
      </c>
      <c r="AH493" s="286">
        <f t="shared" si="1237"/>
        <v>-8.3333333333333329E-2</v>
      </c>
      <c r="AJ493" s="11">
        <f t="shared" si="1217"/>
        <v>0</v>
      </c>
      <c r="AL493" s="11">
        <f t="shared" si="1218"/>
        <v>8670.4215000000004</v>
      </c>
      <c r="AN493" s="11">
        <f t="shared" si="1219"/>
        <v>0</v>
      </c>
      <c r="AP493" s="11">
        <f t="shared" si="1220"/>
        <v>0</v>
      </c>
      <c r="AR493" s="11">
        <f t="shared" si="1221"/>
        <v>118495.76050000064</v>
      </c>
    </row>
    <row r="494" spans="1:44">
      <c r="D494" s="306" t="s">
        <v>284</v>
      </c>
      <c r="E494" s="282">
        <v>2011</v>
      </c>
      <c r="F494" s="284">
        <v>9</v>
      </c>
      <c r="G494" s="307">
        <v>0</v>
      </c>
      <c r="I494" s="308" t="s">
        <v>86</v>
      </c>
      <c r="J494" s="284">
        <v>7</v>
      </c>
      <c r="K494" s="309">
        <f t="shared" si="1222"/>
        <v>2018</v>
      </c>
      <c r="N494" s="285">
        <v>2840.07</v>
      </c>
      <c r="P494" s="286">
        <f t="shared" si="1223"/>
        <v>2840.07</v>
      </c>
      <c r="Q494" s="286">
        <f t="shared" si="1224"/>
        <v>33.810357142857143</v>
      </c>
      <c r="R494" s="286">
        <f t="shared" si="1225"/>
        <v>405.72428571428571</v>
      </c>
      <c r="T494" s="286">
        <f t="shared" si="1226"/>
        <v>405.72428571428571</v>
      </c>
      <c r="U494" s="286">
        <v>1</v>
      </c>
      <c r="V494" s="286">
        <f t="shared" si="1227"/>
        <v>405.72428571428571</v>
      </c>
      <c r="W494" s="286"/>
      <c r="X494" s="286">
        <f t="shared" si="1228"/>
        <v>2163.8628571428262</v>
      </c>
      <c r="Y494" s="286">
        <f t="shared" si="1229"/>
        <v>2163.8628571428262</v>
      </c>
      <c r="Z494" s="286">
        <v>1</v>
      </c>
      <c r="AA494" s="286">
        <f t="shared" si="1230"/>
        <v>2163.8628571428262</v>
      </c>
      <c r="AB494" s="286">
        <f t="shared" si="1231"/>
        <v>2569.5871428571118</v>
      </c>
      <c r="AC494" s="286">
        <f t="shared" si="1232"/>
        <v>473.34500000003118</v>
      </c>
      <c r="AD494" s="286">
        <f t="shared" si="1233"/>
        <v>2011.6666666666667</v>
      </c>
      <c r="AE494" s="286">
        <f t="shared" si="1234"/>
        <v>2018</v>
      </c>
      <c r="AF494" s="286">
        <f t="shared" si="1235"/>
        <v>2018.6666666666667</v>
      </c>
      <c r="AG494" s="286">
        <f t="shared" si="1236"/>
        <v>2017</v>
      </c>
      <c r="AH494" s="286">
        <f t="shared" si="1237"/>
        <v>-8.3333333333333329E-2</v>
      </c>
      <c r="AJ494" s="11">
        <f t="shared" si="1217"/>
        <v>0</v>
      </c>
      <c r="AL494" s="11">
        <f t="shared" si="1218"/>
        <v>405.72428571428571</v>
      </c>
      <c r="AN494" s="11">
        <f t="shared" si="1219"/>
        <v>0</v>
      </c>
      <c r="AP494" s="11">
        <f t="shared" si="1220"/>
        <v>0</v>
      </c>
      <c r="AR494" s="11">
        <f t="shared" si="1221"/>
        <v>473.34500000003118</v>
      </c>
    </row>
    <row r="495" spans="1:44">
      <c r="A495" s="282">
        <v>97283</v>
      </c>
      <c r="D495" s="306" t="s">
        <v>291</v>
      </c>
      <c r="E495" s="282">
        <v>2012</v>
      </c>
      <c r="F495" s="284">
        <v>10</v>
      </c>
      <c r="G495" s="307">
        <v>0</v>
      </c>
      <c r="I495" s="308" t="s">
        <v>86</v>
      </c>
      <c r="J495" s="284">
        <v>10</v>
      </c>
      <c r="K495" s="309">
        <f t="shared" si="1222"/>
        <v>2022</v>
      </c>
      <c r="N495" s="285">
        <v>6890</v>
      </c>
      <c r="P495" s="286">
        <f t="shared" si="1223"/>
        <v>6890</v>
      </c>
      <c r="Q495" s="286">
        <f t="shared" si="1224"/>
        <v>57.416666666666664</v>
      </c>
      <c r="R495" s="286">
        <f t="shared" ref="R495" si="1238">IF(O495&gt;0,0,IF(OR(AD495&gt;AE495,AF495&lt;AG495),0,IF(AND(AF495&gt;=AG495,AF495&lt;=AE495),Q495*((AF495-AG495)*12),IF(AND(AG495&lt;=AD495,AE495&gt;=AD495),((AE495-AD495)*12)*Q495,IF(AF495&gt;AE495,12*Q495,0)))))</f>
        <v>689</v>
      </c>
      <c r="T495" s="286">
        <f t="shared" ref="T495" si="1239">IF(S495&gt;0,S495,R495)</f>
        <v>689</v>
      </c>
      <c r="U495" s="286">
        <v>1</v>
      </c>
      <c r="V495" s="286">
        <f t="shared" ref="V495" si="1240">U495*SUM(R495:S495)</f>
        <v>689</v>
      </c>
      <c r="W495" s="286"/>
      <c r="X495" s="286">
        <f t="shared" ref="X495" si="1241">IF(AD495&gt;AE495,0,IF(AF495&lt;AG495,P495,IF(AND(AF495&gt;=AG495,AF495&lt;=AE495),(P495-T495),IF(AND(AG495&lt;=AD495,AE495&gt;=AD495),0,IF(AF495&gt;AE495,((AG495-AD495)*12)*Q495,0)))))</f>
        <v>2928.25</v>
      </c>
      <c r="Y495" s="286">
        <f t="shared" ref="Y495" si="1242">X495*U495</f>
        <v>2928.25</v>
      </c>
      <c r="Z495" s="286">
        <v>1</v>
      </c>
      <c r="AA495" s="286">
        <f t="shared" ref="AA495" si="1243">Y495*Z495</f>
        <v>2928.25</v>
      </c>
      <c r="AB495" s="286">
        <f t="shared" ref="AB495" si="1244">IF(O495&gt;0,0,AA495+V495*Z495)*Z495</f>
        <v>3617.25</v>
      </c>
      <c r="AC495" s="286">
        <f t="shared" ref="AC495" si="1245">IF(O495&gt;0,(N495-AA495)/2,IF(AD495&gt;=AG495,(((N495*U495)*Z495)-AB495)/2,((((N495*U495)*Z495)-AA495)+(((N495*U495)*Z495)-AB495))/2))</f>
        <v>3617.25</v>
      </c>
      <c r="AD495" s="286">
        <f t="shared" si="1233"/>
        <v>2012.75</v>
      </c>
      <c r="AE495" s="286">
        <f t="shared" si="1234"/>
        <v>2018</v>
      </c>
      <c r="AF495" s="286">
        <f t="shared" si="1235"/>
        <v>2022.75</v>
      </c>
      <c r="AG495" s="286">
        <f t="shared" si="1236"/>
        <v>2017</v>
      </c>
      <c r="AH495" s="286">
        <f t="shared" si="1237"/>
        <v>-8.3333333333333329E-2</v>
      </c>
      <c r="AJ495" s="11">
        <f t="shared" si="1217"/>
        <v>0</v>
      </c>
      <c r="AL495" s="11">
        <f t="shared" si="1218"/>
        <v>689</v>
      </c>
      <c r="AN495" s="11">
        <f t="shared" si="1219"/>
        <v>0</v>
      </c>
      <c r="AP495" s="11">
        <f t="shared" si="1220"/>
        <v>0</v>
      </c>
      <c r="AR495" s="11">
        <f t="shared" si="1221"/>
        <v>3617.25</v>
      </c>
    </row>
    <row r="496" spans="1:44">
      <c r="A496" s="282">
        <v>97221</v>
      </c>
      <c r="D496" s="306" t="s">
        <v>292</v>
      </c>
      <c r="E496" s="282">
        <v>2012</v>
      </c>
      <c r="F496" s="284">
        <v>10</v>
      </c>
      <c r="G496" s="307">
        <v>0</v>
      </c>
      <c r="I496" s="308" t="s">
        <v>86</v>
      </c>
      <c r="J496" s="284">
        <v>10</v>
      </c>
      <c r="K496" s="309">
        <f t="shared" si="1222"/>
        <v>2022</v>
      </c>
      <c r="N496" s="285">
        <v>11318</v>
      </c>
      <c r="P496" s="286">
        <f t="shared" si="1223"/>
        <v>11318</v>
      </c>
      <c r="Q496" s="286">
        <f t="shared" si="1224"/>
        <v>94.316666666666663</v>
      </c>
      <c r="R496" s="286">
        <f t="shared" ref="R496:R499" si="1246">IF(O496&gt;0,0,IF(OR(AD496&gt;AE496,AF496&lt;AG496),0,IF(AND(AF496&gt;=AG496,AF496&lt;=AE496),Q496*((AF496-AG496)*12),IF(AND(AG496&lt;=AD496,AE496&gt;=AD496),((AE496-AD496)*12)*Q496,IF(AF496&gt;AE496,12*Q496,0)))))</f>
        <v>1131.8</v>
      </c>
      <c r="T496" s="286">
        <f t="shared" ref="T496" si="1247">IF(S496&gt;0,S496,R496)</f>
        <v>1131.8</v>
      </c>
      <c r="U496" s="286">
        <v>1</v>
      </c>
      <c r="V496" s="286">
        <f t="shared" ref="V496" si="1248">U496*SUM(R496:S496)</f>
        <v>1131.8</v>
      </c>
      <c r="W496" s="286"/>
      <c r="X496" s="286">
        <f t="shared" ref="X496" si="1249">IF(AD496&gt;AE496,0,IF(AF496&lt;AG496,P496,IF(AND(AF496&gt;=AG496,AF496&lt;=AE496),(P496-T496),IF(AND(AG496&lt;=AD496,AE496&gt;=AD496),0,IF(AF496&gt;AE496,((AG496-AD496)*12)*Q496,0)))))</f>
        <v>4810.1499999999996</v>
      </c>
      <c r="Y496" s="286">
        <f t="shared" ref="Y496" si="1250">X496*U496</f>
        <v>4810.1499999999996</v>
      </c>
      <c r="Z496" s="286">
        <v>1</v>
      </c>
      <c r="AA496" s="286">
        <f t="shared" ref="AA496" si="1251">Y496*Z496</f>
        <v>4810.1499999999996</v>
      </c>
      <c r="AB496" s="286">
        <f t="shared" ref="AB496" si="1252">IF(O496&gt;0,0,AA496+V496*Z496)*Z496</f>
        <v>5941.95</v>
      </c>
      <c r="AC496" s="286">
        <f t="shared" ref="AC496" si="1253">IF(O496&gt;0,(N496-AA496)/2,IF(AD496&gt;=AG496,(((N496*U496)*Z496)-AB496)/2,((((N496*U496)*Z496)-AA496)+(((N496*U496)*Z496)-AB496))/2))</f>
        <v>5941.9500000000007</v>
      </c>
      <c r="AD496" s="286">
        <f t="shared" si="1233"/>
        <v>2012.75</v>
      </c>
      <c r="AE496" s="286">
        <f t="shared" si="1234"/>
        <v>2018</v>
      </c>
      <c r="AF496" s="286">
        <f t="shared" si="1235"/>
        <v>2022.75</v>
      </c>
      <c r="AG496" s="286">
        <f t="shared" si="1236"/>
        <v>2017</v>
      </c>
      <c r="AH496" s="286">
        <f t="shared" si="1237"/>
        <v>-8.3333333333333329E-2</v>
      </c>
      <c r="AJ496" s="11">
        <f t="shared" si="1217"/>
        <v>0</v>
      </c>
      <c r="AL496" s="11">
        <f t="shared" si="1218"/>
        <v>1131.8</v>
      </c>
      <c r="AN496" s="11">
        <f t="shared" si="1219"/>
        <v>0</v>
      </c>
      <c r="AP496" s="11">
        <f t="shared" si="1220"/>
        <v>0</v>
      </c>
      <c r="AR496" s="11">
        <f t="shared" si="1221"/>
        <v>5941.9500000000007</v>
      </c>
    </row>
    <row r="497" spans="1:44">
      <c r="A497" s="282">
        <v>97148</v>
      </c>
      <c r="D497" s="306" t="s">
        <v>293</v>
      </c>
      <c r="E497" s="282">
        <v>2012</v>
      </c>
      <c r="F497" s="284">
        <v>10</v>
      </c>
      <c r="G497" s="307">
        <v>0</v>
      </c>
      <c r="I497" s="308" t="s">
        <v>86</v>
      </c>
      <c r="J497" s="284">
        <v>10</v>
      </c>
      <c r="K497" s="309">
        <f t="shared" si="1222"/>
        <v>2022</v>
      </c>
      <c r="M497" s="282">
        <v>2409</v>
      </c>
      <c r="N497" s="285">
        <v>2409</v>
      </c>
      <c r="P497" s="286">
        <f t="shared" si="1223"/>
        <v>2409</v>
      </c>
      <c r="Q497" s="286">
        <f t="shared" si="1224"/>
        <v>20.074999999999999</v>
      </c>
      <c r="R497" s="286">
        <f t="shared" si="1246"/>
        <v>240.89999999999998</v>
      </c>
      <c r="T497" s="286">
        <f t="shared" ref="T497" si="1254">IF(S497&gt;0,S497,R497)</f>
        <v>240.89999999999998</v>
      </c>
      <c r="U497" s="286">
        <v>1</v>
      </c>
      <c r="V497" s="286">
        <f t="shared" ref="V497" si="1255">U497*SUM(R497:S497)</f>
        <v>240.89999999999998</v>
      </c>
      <c r="W497" s="286"/>
      <c r="X497" s="286">
        <f t="shared" ref="X497" si="1256">IF(AD497&gt;AE497,0,IF(AF497&lt;AG497,P497,IF(AND(AF497&gt;=AG497,AF497&lt;=AE497),(P497-T497),IF(AND(AG497&lt;=AD497,AE497&gt;=AD497),0,IF(AF497&gt;AE497,((AG497-AD497)*12)*Q497,0)))))</f>
        <v>1023.8249999999999</v>
      </c>
      <c r="Y497" s="286">
        <f t="shared" ref="Y497" si="1257">X497*U497</f>
        <v>1023.8249999999999</v>
      </c>
      <c r="Z497" s="286">
        <v>1</v>
      </c>
      <c r="AA497" s="286">
        <f t="shared" ref="AA497" si="1258">Y497*Z497</f>
        <v>1023.8249999999999</v>
      </c>
      <c r="AB497" s="286">
        <f t="shared" ref="AB497" si="1259">IF(O497&gt;0,0,AA497+V497*Z497)*Z497</f>
        <v>1264.7249999999999</v>
      </c>
      <c r="AC497" s="286">
        <f t="shared" ref="AC497" si="1260">IF(O497&gt;0,(N497-AA497)/2,IF(AD497&gt;=AG497,(((N497*U497)*Z497)-AB497)/2,((((N497*U497)*Z497)-AA497)+(((N497*U497)*Z497)-AB497))/2))</f>
        <v>1264.7250000000001</v>
      </c>
      <c r="AD497" s="286">
        <f t="shared" si="1233"/>
        <v>2012.75</v>
      </c>
      <c r="AE497" s="286">
        <f t="shared" si="1234"/>
        <v>2018</v>
      </c>
      <c r="AF497" s="286">
        <f t="shared" si="1235"/>
        <v>2022.75</v>
      </c>
      <c r="AG497" s="286">
        <f t="shared" si="1236"/>
        <v>2017</v>
      </c>
      <c r="AH497" s="286">
        <f t="shared" si="1237"/>
        <v>200.66666666666666</v>
      </c>
      <c r="AJ497" s="11">
        <f t="shared" si="1217"/>
        <v>0</v>
      </c>
      <c r="AL497" s="11">
        <f t="shared" si="1218"/>
        <v>240.89999999999998</v>
      </c>
      <c r="AN497" s="11">
        <f t="shared" si="1219"/>
        <v>0</v>
      </c>
      <c r="AP497" s="11">
        <f t="shared" si="1220"/>
        <v>0</v>
      </c>
      <c r="AR497" s="11">
        <f t="shared" si="1221"/>
        <v>1264.7250000000001</v>
      </c>
    </row>
    <row r="498" spans="1:44">
      <c r="A498" s="282">
        <v>109576</v>
      </c>
      <c r="D498" s="306" t="s">
        <v>304</v>
      </c>
      <c r="E498" s="282">
        <v>2014</v>
      </c>
      <c r="F498" s="284">
        <v>1</v>
      </c>
      <c r="G498" s="307">
        <v>0</v>
      </c>
      <c r="I498" s="308" t="s">
        <v>86</v>
      </c>
      <c r="J498" s="284">
        <v>15</v>
      </c>
      <c r="K498" s="309">
        <f t="shared" si="1222"/>
        <v>2029</v>
      </c>
      <c r="N498" s="285">
        <f>17617.71+1022.03+14778.49+55756.7+317+10412.07+2675.38+1884</f>
        <v>104463.38</v>
      </c>
      <c r="P498" s="286">
        <f t="shared" ref="P498" si="1261">N498-N498*G498</f>
        <v>104463.38</v>
      </c>
      <c r="Q498" s="286">
        <f t="shared" ref="Q498" si="1262">P498/J498/12</f>
        <v>580.35211111111118</v>
      </c>
      <c r="R498" s="286">
        <f t="shared" si="1246"/>
        <v>6964.2253333333338</v>
      </c>
      <c r="T498" s="286">
        <f t="shared" ref="T498" si="1263">IF(S498&gt;0,S498,R498)</f>
        <v>6964.2253333333338</v>
      </c>
      <c r="U498" s="286">
        <v>1</v>
      </c>
      <c r="V498" s="286">
        <f t="shared" ref="V498" si="1264">U498*SUM(R498:S498)</f>
        <v>6964.2253333333338</v>
      </c>
      <c r="W498" s="286"/>
      <c r="X498" s="286">
        <f t="shared" ref="X498" si="1265">IF(AD498&gt;AE498,0,IF(AF498&lt;AG498,P498,IF(AND(AF498&gt;=AG498,AF498&lt;=AE498),(P498-T498),IF(AND(AG498&lt;=AD498,AE498&gt;=AD498),0,IF(AF498&gt;AE498,((AG498-AD498)*12)*Q498,0)))))</f>
        <v>20892.676000000003</v>
      </c>
      <c r="Y498" s="286">
        <f t="shared" ref="Y498" si="1266">X498*U498</f>
        <v>20892.676000000003</v>
      </c>
      <c r="Z498" s="286">
        <v>1</v>
      </c>
      <c r="AA498" s="286">
        <f t="shared" ref="AA498" si="1267">Y498*Z498</f>
        <v>20892.676000000003</v>
      </c>
      <c r="AB498" s="286">
        <f t="shared" ref="AB498" si="1268">IF(O498&gt;0,0,AA498+V498*Z498)*Z498</f>
        <v>27856.901333333335</v>
      </c>
      <c r="AC498" s="286">
        <f t="shared" ref="AC498" si="1269">IF(O498&gt;0,(N498-AA498)/2,IF(AD498&gt;=AG498,(((N498*U498)*Z498)-AB498)/2,((((N498*U498)*Z498)-AA498)+(((N498*U498)*Z498)-AB498))/2))</f>
        <v>80088.59133333333</v>
      </c>
      <c r="AD498" s="286">
        <f t="shared" si="1233"/>
        <v>2014</v>
      </c>
      <c r="AE498" s="286">
        <f t="shared" si="1234"/>
        <v>2018</v>
      </c>
      <c r="AF498" s="286">
        <f t="shared" si="1235"/>
        <v>2029</v>
      </c>
      <c r="AG498" s="286">
        <f t="shared" si="1236"/>
        <v>2017</v>
      </c>
      <c r="AH498" s="286">
        <f t="shared" si="1237"/>
        <v>-8.3333333333333329E-2</v>
      </c>
      <c r="AJ498" s="11">
        <f t="shared" si="1217"/>
        <v>0</v>
      </c>
      <c r="AL498" s="11">
        <f t="shared" si="1218"/>
        <v>6964.2253333333338</v>
      </c>
      <c r="AN498" s="11">
        <f t="shared" si="1219"/>
        <v>0</v>
      </c>
      <c r="AP498" s="11">
        <f t="shared" si="1220"/>
        <v>0</v>
      </c>
      <c r="AR498" s="11">
        <f t="shared" si="1221"/>
        <v>80088.59133333333</v>
      </c>
    </row>
    <row r="499" spans="1:44">
      <c r="A499" s="282">
        <v>110007</v>
      </c>
      <c r="D499" s="306" t="s">
        <v>282</v>
      </c>
      <c r="E499" s="282">
        <v>2013</v>
      </c>
      <c r="F499" s="284">
        <v>12</v>
      </c>
      <c r="G499" s="307">
        <v>0</v>
      </c>
      <c r="I499" s="308" t="s">
        <v>86</v>
      </c>
      <c r="J499" s="284">
        <v>20</v>
      </c>
      <c r="K499" s="309">
        <f t="shared" si="1222"/>
        <v>2033</v>
      </c>
      <c r="N499" s="285">
        <v>4622.1000000000004</v>
      </c>
      <c r="P499" s="286">
        <f t="shared" ref="P499:P500" si="1270">N499-N499*G499</f>
        <v>4622.1000000000004</v>
      </c>
      <c r="Q499" s="286">
        <f t="shared" ref="Q499:Q500" si="1271">P499/J499/12</f>
        <v>19.258750000000003</v>
      </c>
      <c r="R499" s="286">
        <f t="shared" si="1246"/>
        <v>231.10500000000002</v>
      </c>
      <c r="T499" s="286">
        <f t="shared" ref="T499" si="1272">IF(S499&gt;0,S499,R499)</f>
        <v>231.10500000000002</v>
      </c>
      <c r="U499" s="286">
        <v>1</v>
      </c>
      <c r="V499" s="286">
        <f t="shared" ref="V499" si="1273">U499*SUM(R499:S499)</f>
        <v>231.10500000000002</v>
      </c>
      <c r="W499" s="286"/>
      <c r="X499" s="286">
        <f t="shared" ref="X499" si="1274">IF(AD499&gt;AE499,0,IF(AF499&lt;AG499,P499,IF(AND(AF499&gt;=AG499,AF499&lt;=AE499),(P499-T499),IF(AND(AG499&lt;=AD499,AE499&gt;=AD499),0,IF(AF499&gt;AE499,((AG499-AD499)*12)*Q499,0)))))</f>
        <v>712.57374999998262</v>
      </c>
      <c r="Y499" s="286">
        <f t="shared" ref="Y499" si="1275">X499*U499</f>
        <v>712.57374999998262</v>
      </c>
      <c r="Z499" s="286">
        <v>1</v>
      </c>
      <c r="AA499" s="286">
        <f t="shared" ref="AA499" si="1276">Y499*Z499</f>
        <v>712.57374999998262</v>
      </c>
      <c r="AB499" s="286">
        <f t="shared" ref="AB499" si="1277">IF(O499&gt;0,0,AA499+V499*Z499)*Z499</f>
        <v>943.67874999998264</v>
      </c>
      <c r="AC499" s="286">
        <f t="shared" ref="AC499" si="1278">IF(O499&gt;0,(N499-AA499)/2,IF(AD499&gt;=AG499,(((N499*U499)*Z499)-AB499)/2,((((N499*U499)*Z499)-AA499)+(((N499*U499)*Z499)-AB499))/2))</f>
        <v>3793.9737500000174</v>
      </c>
      <c r="AD499" s="286">
        <f t="shared" si="1233"/>
        <v>2013.9166666666667</v>
      </c>
      <c r="AE499" s="286">
        <f t="shared" si="1234"/>
        <v>2018</v>
      </c>
      <c r="AF499" s="286">
        <f t="shared" si="1235"/>
        <v>2033.9166666666667</v>
      </c>
      <c r="AG499" s="286">
        <f t="shared" si="1236"/>
        <v>2017</v>
      </c>
      <c r="AH499" s="286">
        <f t="shared" si="1237"/>
        <v>-8.3333333333333329E-2</v>
      </c>
      <c r="AJ499" s="11">
        <f t="shared" si="1217"/>
        <v>0</v>
      </c>
      <c r="AL499" s="11">
        <f t="shared" si="1218"/>
        <v>231.10500000000002</v>
      </c>
      <c r="AN499" s="11">
        <f t="shared" si="1219"/>
        <v>0</v>
      </c>
      <c r="AP499" s="11">
        <f t="shared" si="1220"/>
        <v>0</v>
      </c>
      <c r="AR499" s="11">
        <f t="shared" si="1221"/>
        <v>3793.9737500000174</v>
      </c>
    </row>
    <row r="500" spans="1:44">
      <c r="A500" s="282">
        <v>116395</v>
      </c>
      <c r="D500" s="306" t="s">
        <v>322</v>
      </c>
      <c r="E500" s="282">
        <v>2014</v>
      </c>
      <c r="F500" s="284">
        <v>10</v>
      </c>
      <c r="G500" s="307">
        <v>0</v>
      </c>
      <c r="I500" s="308" t="s">
        <v>86</v>
      </c>
      <c r="J500" s="284">
        <v>5</v>
      </c>
      <c r="K500" s="309">
        <f t="shared" si="1222"/>
        <v>2019</v>
      </c>
      <c r="N500" s="285">
        <v>3942.89</v>
      </c>
      <c r="P500" s="286">
        <f t="shared" si="1270"/>
        <v>3942.89</v>
      </c>
      <c r="Q500" s="286">
        <f t="shared" si="1271"/>
        <v>65.714833333333331</v>
      </c>
      <c r="R500" s="286">
        <f t="shared" ref="R500" si="1279">IF(O500&gt;0,0,IF(OR(AD500&gt;AE500,AF500&lt;AG500),0,IF(AND(AF500&gt;=AG500,AF500&lt;=AE500),Q500*((AF500-AG500)*12),IF(AND(AG500&lt;=AD500,AE500&gt;=AD500),((AE500-AD500)*12)*Q500,IF(AF500&gt;AE500,12*Q500,0)))))</f>
        <v>788.57799999999997</v>
      </c>
      <c r="T500" s="286">
        <f t="shared" ref="T500" si="1280">IF(S500&gt;0,S500,R500)</f>
        <v>788.57799999999997</v>
      </c>
      <c r="U500" s="286">
        <v>1</v>
      </c>
      <c r="V500" s="286">
        <f t="shared" ref="V500" si="1281">U500*SUM(R500:S500)</f>
        <v>788.57799999999997</v>
      </c>
      <c r="W500" s="286"/>
      <c r="X500" s="286">
        <f t="shared" ref="X500" si="1282">IF(AD500&gt;AE500,0,IF(AF500&lt;AG500,P500,IF(AND(AF500&gt;=AG500,AF500&lt;=AE500),(P500-T500),IF(AND(AG500&lt;=AD500,AE500&gt;=AD500),0,IF(AF500&gt;AE500,((AG500-AD500)*12)*Q500,0)))))</f>
        <v>1774.3004999999998</v>
      </c>
      <c r="Y500" s="286">
        <f t="shared" ref="Y500" si="1283">X500*U500</f>
        <v>1774.3004999999998</v>
      </c>
      <c r="Z500" s="286">
        <v>1</v>
      </c>
      <c r="AA500" s="286">
        <f t="shared" ref="AA500" si="1284">Y500*Z500</f>
        <v>1774.3004999999998</v>
      </c>
      <c r="AB500" s="286">
        <f t="shared" ref="AB500" si="1285">IF(O500&gt;0,0,AA500+V500*Z500)*Z500</f>
        <v>2562.8784999999998</v>
      </c>
      <c r="AC500" s="286">
        <f t="shared" ref="AC500" si="1286">IF(O500&gt;0,(N500-AA500)/2,IF(AD500&gt;=AG500,(((N500*U500)*Z500)-AB500)/2,((((N500*U500)*Z500)-AA500)+(((N500*U500)*Z500)-AB500))/2))</f>
        <v>1774.3005000000001</v>
      </c>
      <c r="AD500" s="286">
        <f t="shared" si="1233"/>
        <v>2014.75</v>
      </c>
      <c r="AE500" s="286">
        <f t="shared" si="1234"/>
        <v>2018</v>
      </c>
      <c r="AF500" s="286">
        <f t="shared" si="1235"/>
        <v>2019.75</v>
      </c>
      <c r="AG500" s="286">
        <f t="shared" si="1236"/>
        <v>2017</v>
      </c>
      <c r="AH500" s="286">
        <f t="shared" si="1237"/>
        <v>-8.3333333333333329E-2</v>
      </c>
      <c r="AJ500" s="11">
        <f t="shared" si="1217"/>
        <v>0</v>
      </c>
      <c r="AL500" s="11">
        <f t="shared" si="1218"/>
        <v>788.57799999999997</v>
      </c>
      <c r="AN500" s="11">
        <f t="shared" si="1219"/>
        <v>0</v>
      </c>
      <c r="AP500" s="11">
        <f t="shared" si="1220"/>
        <v>0</v>
      </c>
      <c r="AR500" s="11">
        <f t="shared" si="1221"/>
        <v>1774.3005000000001</v>
      </c>
    </row>
    <row r="501" spans="1:44">
      <c r="D501" s="306"/>
      <c r="G501" s="307"/>
      <c r="I501" s="308"/>
      <c r="K501" s="309"/>
      <c r="P501" s="286"/>
      <c r="Q501" s="286"/>
      <c r="R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</row>
    <row r="502" spans="1:44">
      <c r="C502" s="311"/>
      <c r="D502" s="311" t="s">
        <v>285</v>
      </c>
      <c r="E502" s="311"/>
      <c r="F502" s="291"/>
      <c r="G502" s="291"/>
      <c r="J502" s="291"/>
      <c r="K502" s="311"/>
      <c r="L502" s="311"/>
      <c r="M502" s="311"/>
      <c r="N502" s="319">
        <f>SUM(N485:N501)</f>
        <v>415446.32</v>
      </c>
      <c r="O502" s="327"/>
      <c r="P502" s="319">
        <f t="shared" ref="P502:R502" si="1287">SUM(P485:P501)</f>
        <v>415446.32</v>
      </c>
      <c r="Q502" s="319">
        <f t="shared" si="1287"/>
        <v>2534.7408154761906</v>
      </c>
      <c r="R502" s="319">
        <f t="shared" si="1287"/>
        <v>27696.751119047618</v>
      </c>
      <c r="S502" s="315">
        <f t="shared" ref="S502:W502" si="1288">SUM(S485:S497)</f>
        <v>0</v>
      </c>
      <c r="T502" s="319">
        <f t="shared" ref="T502:V502" si="1289">SUM(T485:T501)</f>
        <v>27696.751119047618</v>
      </c>
      <c r="U502" s="319">
        <f t="shared" si="1289"/>
        <v>16</v>
      </c>
      <c r="V502" s="319">
        <f t="shared" si="1289"/>
        <v>27696.751119047618</v>
      </c>
      <c r="W502" s="315">
        <f t="shared" si="1288"/>
        <v>0</v>
      </c>
      <c r="X502" s="319">
        <f t="shared" ref="X502:AC502" si="1290">SUM(X485:X501)</f>
        <v>162353.02610714221</v>
      </c>
      <c r="Y502" s="319">
        <f t="shared" si="1290"/>
        <v>162353.02610714221</v>
      </c>
      <c r="Z502" s="319">
        <f t="shared" si="1290"/>
        <v>16</v>
      </c>
      <c r="AA502" s="319">
        <f t="shared" si="1290"/>
        <v>162353.02610714221</v>
      </c>
      <c r="AB502" s="319">
        <f t="shared" si="1290"/>
        <v>190049.77722618982</v>
      </c>
      <c r="AC502" s="319">
        <f t="shared" si="1290"/>
        <v>239244.91833333403</v>
      </c>
      <c r="AD502" s="327"/>
      <c r="AE502" s="327"/>
      <c r="AF502" s="327"/>
      <c r="AG502" s="327"/>
      <c r="AH502" s="327"/>
      <c r="AJ502" s="7">
        <f t="shared" ref="AJ502:AR502" si="1291">SUM(AJ485:AJ501)</f>
        <v>0</v>
      </c>
      <c r="AK502" s="7">
        <f t="shared" si="1291"/>
        <v>0</v>
      </c>
      <c r="AL502" s="7">
        <f t="shared" si="1291"/>
        <v>27696.751119047618</v>
      </c>
      <c r="AM502" s="7">
        <f t="shared" si="1291"/>
        <v>0</v>
      </c>
      <c r="AN502" s="7">
        <f t="shared" si="1291"/>
        <v>0</v>
      </c>
      <c r="AO502" s="7">
        <f t="shared" si="1291"/>
        <v>0</v>
      </c>
      <c r="AP502" s="7">
        <f t="shared" si="1291"/>
        <v>0</v>
      </c>
      <c r="AQ502" s="7">
        <f t="shared" si="1291"/>
        <v>0</v>
      </c>
      <c r="AR502" s="7">
        <f t="shared" si="1291"/>
        <v>239244.91833333403</v>
      </c>
    </row>
    <row r="504" spans="1:44" s="311" customFormat="1">
      <c r="D504" s="311" t="s">
        <v>286</v>
      </c>
      <c r="F504" s="291"/>
      <c r="G504" s="291"/>
      <c r="I504" s="291"/>
      <c r="J504" s="291"/>
      <c r="N504" s="319">
        <f>N37+N52+N69+N86+N102+N230+N278+N324+N339+N356+N397+N445+N482+N502+N364+N370+N377+N382+N387+N116</f>
        <v>9141238.5295726527</v>
      </c>
      <c r="O504" s="328"/>
      <c r="P504" s="319">
        <f>P37+P52+P69+P86+P102+P230+P278+P324+P339+P356+P397+P445+P482+P502+P364+P370+P377+P382+P387+P116</f>
        <v>8273534.2928726496</v>
      </c>
      <c r="Q504" s="319">
        <f>Q37+Q52+Q69+Q86+Q102+Q230+Q278+Q324+Q339+Q356+Q397+Q445+Q482+Q502+Q364+Q370+Q377+Q382+Q387+Q116</f>
        <v>92749.546073872305</v>
      </c>
      <c r="R504" s="319">
        <f>R37+R52+R69+R86+R102+R230+R278+R324+R339+R356+R397+R445+R482+R502+R364+R370+R377+R382+R387+R116</f>
        <v>462501.21453049016</v>
      </c>
      <c r="S504" s="319">
        <f>S37+S52+S69+S86+S102+S230+S278+S324+S339+S356+S397+S445+S482+S502</f>
        <v>0</v>
      </c>
      <c r="T504" s="319">
        <f t="shared" ref="T504:AC504" si="1292">T37+T52+T69+T86+T102+T230+T278+T324+T339+T356+T397+T445+T482+T502+T364+T370+T377+T382+T387+T116</f>
        <v>408555.72381620627</v>
      </c>
      <c r="U504" s="319">
        <f t="shared" si="1292"/>
        <v>155</v>
      </c>
      <c r="V504" s="319">
        <f t="shared" si="1292"/>
        <v>462501.21453049016</v>
      </c>
      <c r="W504" s="319">
        <f t="shared" si="1292"/>
        <v>0</v>
      </c>
      <c r="X504" s="319">
        <f t="shared" si="1292"/>
        <v>4083724.1362807802</v>
      </c>
      <c r="Y504" s="319">
        <f t="shared" si="1292"/>
        <v>4083724.1362807802</v>
      </c>
      <c r="Z504" s="319">
        <f t="shared" si="1292"/>
        <v>280</v>
      </c>
      <c r="AA504" s="319">
        <f t="shared" si="1292"/>
        <v>4937072.2112193406</v>
      </c>
      <c r="AB504" s="319">
        <f t="shared" si="1292"/>
        <v>5399573.4257498318</v>
      </c>
      <c r="AC504" s="319">
        <f t="shared" si="1292"/>
        <v>3105351.5410880628</v>
      </c>
      <c r="AD504" s="328"/>
      <c r="AE504" s="328"/>
      <c r="AF504" s="328"/>
      <c r="AG504" s="328"/>
      <c r="AH504" s="328"/>
      <c r="AJ504" s="319">
        <f>AJ37+AJ52+AJ69+AJ86+AJ102+AJ230+AJ278+AJ324+AJ339+AJ356+AJ397+AJ445+AJ482+AJ502+AJ364+AJ370+AJ377+AJ382+AJ387+AJ116</f>
        <v>273496.91288841725</v>
      </c>
      <c r="AK504" s="8">
        <f>AK37+AK52+AK69+AK86+AK102+AK230+AK278+AK324+AK339+AK356+AK397+AK445+AK482+AK502+AK364+AK370+AK377+AK382+AK387</f>
        <v>0</v>
      </c>
      <c r="AL504" s="319">
        <f>AL37+AL52+AL69+AL86+AL102+AL230+AL278+AL324+AL339+AL356+AL397+AL445+AL482+AL502+AL364+AL370+AL377+AL382+AL387+AL116</f>
        <v>716122.85741890734</v>
      </c>
      <c r="AM504" s="8">
        <f>AM37+AM52+AM69+AM86+AM102+AM230+AM278+AM324+AM339+AM356+AM397+AM445+AM482+AM502+AM364+AM370+AM377+AM382+AM387</f>
        <v>0</v>
      </c>
      <c r="AN504" s="319">
        <f>AN37+AN52+AN69+AN86+AN102+AN230+AN278+AN324+AN339+AN356+AN397+AN445+AN482+AN502+AN364+AN370+AN377+AN382+AN387+AN116</f>
        <v>-677917.62249999994</v>
      </c>
      <c r="AO504" s="8">
        <f>AO37+AO52+AO69+AO86+AO102+AO230+AO278+AO324+AO339+AO356+AO397+AO445+AO482+AO502+AO364+AO370+AO377+AO382+AO387</f>
        <v>0</v>
      </c>
      <c r="AP504" s="319">
        <f>AP37+AP52+AP69+AP86+AP102+AP230+AP278+AP324+AP339+AP356+AP397+AP445+AP482+AP502+AP364+AP370+AP377+AP382+AP387+AP116</f>
        <v>456839.44318179751</v>
      </c>
      <c r="AQ504" s="8">
        <f>AQ37+AQ52+AQ69+AQ86+AQ102+AQ230+AQ278+AQ324+AQ339+AQ356+AQ397+AQ445+AQ482+AQ502+AQ364+AQ370+AQ377+AQ382+AQ387</f>
        <v>0</v>
      </c>
      <c r="AR504" s="319">
        <f>AR37+AR52+AR69+AR86+AR102+AR230+AR278+AR324+AR339+AR356+AR397+AR445+AR482+AR502+AR364+AR370+AR377+AR382+AR387+AR116</f>
        <v>2248653.662560523</v>
      </c>
    </row>
    <row r="505" spans="1:44">
      <c r="D505" s="318"/>
      <c r="G505" s="307"/>
      <c r="H505" s="284"/>
      <c r="M505" s="310"/>
      <c r="O505" s="310"/>
      <c r="P505" s="310"/>
      <c r="Q505" s="310"/>
      <c r="R505" s="310"/>
      <c r="S505" s="334"/>
      <c r="W505" s="284"/>
      <c r="X505" s="284"/>
      <c r="Y505" s="284"/>
    </row>
    <row r="506" spans="1:44">
      <c r="D506" s="311"/>
      <c r="M506" s="310"/>
      <c r="O506" s="310"/>
      <c r="P506" s="310"/>
      <c r="Q506" s="310"/>
      <c r="R506" s="310"/>
      <c r="S506" s="335"/>
      <c r="W506" s="284"/>
      <c r="X506" s="284"/>
      <c r="Y506" s="284"/>
    </row>
    <row r="507" spans="1:44">
      <c r="B507" s="309" t="s">
        <v>446</v>
      </c>
      <c r="C507" s="11">
        <f>+SUMIF($K$1:$K$389,2016,$T$1:$T$389)</f>
        <v>0</v>
      </c>
      <c r="M507" s="310"/>
      <c r="O507" s="310"/>
      <c r="P507" s="310"/>
      <c r="Q507" s="310"/>
      <c r="R507" s="336"/>
      <c r="S507" s="335"/>
      <c r="W507" s="337"/>
      <c r="X507" s="337"/>
      <c r="Y507" s="337"/>
    </row>
    <row r="508" spans="1:44">
      <c r="B508" s="309" t="s">
        <v>447</v>
      </c>
      <c r="C508" s="338">
        <f>+SUMIF($K$1:$K$389,2017,$T$1:$T$389)</f>
        <v>16971.069880951978</v>
      </c>
      <c r="M508" s="310"/>
      <c r="S508" s="335"/>
    </row>
    <row r="509" spans="1:44">
      <c r="B509" s="309" t="s">
        <v>448</v>
      </c>
      <c r="C509" s="339">
        <f>+C507+C508</f>
        <v>16971.069880951978</v>
      </c>
      <c r="M509" s="310"/>
      <c r="O509" s="310"/>
      <c r="P509" s="310"/>
      <c r="Q509" s="310"/>
      <c r="R509" s="310"/>
      <c r="S509" s="335"/>
      <c r="W509" s="310"/>
      <c r="X509" s="310"/>
      <c r="Y509" s="310"/>
      <c r="Z509" s="310"/>
      <c r="AA509" s="310"/>
      <c r="AB509" s="310"/>
      <c r="AC509" s="310"/>
    </row>
    <row r="510" spans="1:44">
      <c r="M510" s="310"/>
      <c r="O510" s="310"/>
      <c r="P510" s="310"/>
      <c r="Q510" s="310"/>
      <c r="R510" s="310"/>
      <c r="S510" s="335"/>
      <c r="W510" s="310"/>
      <c r="X510" s="310"/>
      <c r="Y510" s="310"/>
      <c r="Z510" s="310"/>
      <c r="AA510" s="310"/>
      <c r="AB510" s="310"/>
      <c r="AC510" s="310"/>
    </row>
    <row r="511" spans="1:44">
      <c r="M511" s="310"/>
      <c r="O511" s="310"/>
      <c r="P511" s="310"/>
      <c r="Q511" s="310"/>
      <c r="R511" s="310"/>
      <c r="S511" s="335"/>
      <c r="W511" s="310"/>
      <c r="X511" s="310"/>
      <c r="Y511" s="310"/>
      <c r="Z511" s="310"/>
      <c r="AA511" s="310"/>
      <c r="AB511" s="310"/>
      <c r="AC511" s="310"/>
    </row>
    <row r="512" spans="1:44">
      <c r="M512" s="310"/>
      <c r="O512" s="310"/>
      <c r="P512" s="310"/>
      <c r="Q512" s="310"/>
      <c r="R512" s="310"/>
      <c r="S512" s="335"/>
      <c r="W512" s="310"/>
      <c r="X512" s="310"/>
      <c r="Y512" s="310"/>
      <c r="Z512" s="310"/>
      <c r="AA512" s="310"/>
      <c r="AB512" s="310"/>
      <c r="AC512" s="310"/>
    </row>
    <row r="513" spans="2:76">
      <c r="B513" s="284"/>
      <c r="C513" s="309"/>
      <c r="D513" s="306"/>
      <c r="G513" s="307"/>
      <c r="H513" s="286"/>
      <c r="I513" s="308"/>
      <c r="K513" s="309"/>
      <c r="N513" s="330"/>
      <c r="O513" s="310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313"/>
      <c r="AD513" s="286"/>
      <c r="AE513" s="286"/>
      <c r="AF513" s="286"/>
      <c r="AG513" s="286"/>
      <c r="AH513" s="286"/>
    </row>
    <row r="514" spans="2:76">
      <c r="M514" s="310"/>
      <c r="O514" s="310"/>
      <c r="P514" s="310"/>
      <c r="Q514" s="310"/>
      <c r="R514" s="310"/>
      <c r="S514" s="335"/>
      <c r="W514" s="310"/>
      <c r="X514" s="310"/>
      <c r="Y514" s="310"/>
      <c r="Z514" s="310"/>
      <c r="AA514" s="310"/>
      <c r="AB514" s="310"/>
      <c r="AC514" s="310"/>
    </row>
    <row r="515" spans="2:76">
      <c r="B515" s="284"/>
      <c r="D515" s="340"/>
      <c r="G515" s="307"/>
      <c r="H515" s="286"/>
      <c r="I515" s="308"/>
      <c r="K515" s="309"/>
      <c r="O515" s="310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  <c r="AA515" s="286"/>
      <c r="AB515" s="286"/>
      <c r="AC515" s="286"/>
      <c r="AD515" s="286"/>
      <c r="AE515" s="286"/>
      <c r="AF515" s="286"/>
      <c r="AG515" s="286"/>
      <c r="AH515" s="286"/>
    </row>
    <row r="516" spans="2:76">
      <c r="D516" s="341" t="s">
        <v>294</v>
      </c>
      <c r="M516" s="310"/>
      <c r="O516" s="310"/>
      <c r="P516" s="310"/>
      <c r="Q516" s="310"/>
      <c r="R516" s="310"/>
      <c r="S516" s="335"/>
      <c r="W516" s="310"/>
      <c r="X516" s="310"/>
      <c r="Y516" s="310"/>
      <c r="Z516" s="310"/>
      <c r="AA516" s="310"/>
      <c r="AB516" s="310"/>
      <c r="AC516" s="310"/>
    </row>
    <row r="517" spans="2:76" s="343" customFormat="1">
      <c r="B517" s="342"/>
      <c r="C517" s="343">
        <v>24</v>
      </c>
      <c r="D517" s="343" t="s">
        <v>16</v>
      </c>
      <c r="E517" s="343">
        <v>1989</v>
      </c>
      <c r="F517" s="344">
        <v>8</v>
      </c>
      <c r="G517" s="345">
        <v>0</v>
      </c>
      <c r="H517" s="342"/>
      <c r="I517" s="346" t="s">
        <v>86</v>
      </c>
      <c r="J517" s="344">
        <v>10</v>
      </c>
      <c r="K517" s="347">
        <f>E517+J517</f>
        <v>1999</v>
      </c>
      <c r="N517" s="348">
        <v>11891</v>
      </c>
      <c r="P517" s="342">
        <f>N517-N517*G517</f>
        <v>11891</v>
      </c>
      <c r="Q517" s="342">
        <f>P517/J517/12</f>
        <v>99.091666666666654</v>
      </c>
      <c r="R517" s="342">
        <f>IF(O517&gt;0,0,IF(OR(AD517&gt;AE517,AF517&lt;AG517),0,IF(AND(AF517&gt;=AG517,AF517&lt;=AE517),Q517*((AF517-AG517)*12),IF(AND(AG517&lt;=AD517,AE517&gt;=AD517),((AE517-AD517)*12)*Q517,IF(AF517&gt;AE517,12*Q517,0)))))</f>
        <v>0</v>
      </c>
      <c r="S517" s="349"/>
      <c r="T517" s="342">
        <f>IF(S517&gt;0,S517,R517)</f>
        <v>0</v>
      </c>
      <c r="U517" s="342">
        <v>1</v>
      </c>
      <c r="V517" s="342">
        <f>U517*SUM(R517:S517)</f>
        <v>0</v>
      </c>
      <c r="W517" s="342"/>
      <c r="X517" s="342">
        <f>IF(AD517&gt;AE517,0,IF(AF517&lt;AG517,P517,IF(AND(AF517&gt;=AG517,AF517&lt;=AE517),(P517-T517),IF(AND(AG517&lt;=AD517,AE517&gt;=AD517),0,IF(AF517&gt;AE517,((AG517-AD517)*12)*Q517,0)))))</f>
        <v>11891</v>
      </c>
      <c r="Y517" s="342">
        <f>X517*U517</f>
        <v>11891</v>
      </c>
      <c r="Z517" s="342">
        <v>1</v>
      </c>
      <c r="AA517" s="342">
        <f>Y517*Z517</f>
        <v>11891</v>
      </c>
      <c r="AB517" s="342">
        <f>IF(O517&gt;0,0,AA517+V517*Z517)*Z517</f>
        <v>11891</v>
      </c>
      <c r="AC517" s="342">
        <f>IF(O517&gt;0,(N517-AA517)/2,IF(AD517&gt;=AG517,(((N517*U517)*Z517)-AB517)/2,((((N517*U517)*Z517)-AA517)+(((N517*U517)*Z517)-AB517))/2))</f>
        <v>0</v>
      </c>
      <c r="AD517" s="342">
        <f>$E517+(($F517-1)/12)</f>
        <v>1989.5833333333333</v>
      </c>
      <c r="AE517" s="342">
        <f t="shared" si="429"/>
        <v>2018</v>
      </c>
      <c r="AF517" s="342">
        <f>$K517+(($F517-1)/12)</f>
        <v>1999.5833333333333</v>
      </c>
      <c r="AG517" s="342">
        <f t="shared" si="410"/>
        <v>2017</v>
      </c>
      <c r="AH517" s="342">
        <f>$L517+(($M517-1)/12)</f>
        <v>-8.3333333333333329E-2</v>
      </c>
      <c r="AJ517" s="6"/>
      <c r="AK517" s="6"/>
      <c r="AL517" s="6"/>
      <c r="AM517" s="6"/>
      <c r="AN517" s="6"/>
      <c r="AO517" s="6"/>
      <c r="AP517" s="6"/>
      <c r="AQ517" s="6"/>
      <c r="AR517" s="6"/>
    </row>
    <row r="518" spans="2:76" s="343" customFormat="1">
      <c r="B518" s="342"/>
      <c r="C518" s="343">
        <v>26</v>
      </c>
      <c r="D518" s="343" t="s">
        <v>16</v>
      </c>
      <c r="E518" s="343">
        <v>1990</v>
      </c>
      <c r="F518" s="344">
        <v>4</v>
      </c>
      <c r="G518" s="345">
        <v>0</v>
      </c>
      <c r="H518" s="342"/>
      <c r="I518" s="346" t="s">
        <v>86</v>
      </c>
      <c r="J518" s="344">
        <v>10</v>
      </c>
      <c r="K518" s="347">
        <f>E518+J518</f>
        <v>2000</v>
      </c>
      <c r="N518" s="348">
        <v>2000</v>
      </c>
      <c r="P518" s="342">
        <f>N518-N518*G518</f>
        <v>2000</v>
      </c>
      <c r="Q518" s="342">
        <f>P518/J518/12</f>
        <v>16.666666666666668</v>
      </c>
      <c r="R518" s="342">
        <f>IF(O518&gt;0,0,IF(OR(AD518&gt;AE518,AF518&lt;AG518),0,IF(AND(AF518&gt;=AG518,AF518&lt;=AE518),Q518*((AF518-AG518)*12),IF(AND(AG518&lt;=AD518,AE518&gt;=AD518),((AE518-AD518)*12)*Q518,IF(AF518&gt;AE518,12*Q518,0)))))</f>
        <v>0</v>
      </c>
      <c r="S518" s="342"/>
      <c r="T518" s="342">
        <f>IF(S518&gt;0,S518,R518)</f>
        <v>0</v>
      </c>
      <c r="U518" s="342">
        <v>1</v>
      </c>
      <c r="V518" s="342">
        <f>U518*SUM(R518:S518)</f>
        <v>0</v>
      </c>
      <c r="W518" s="342"/>
      <c r="X518" s="342">
        <f>IF(AD518&gt;AE518,0,IF(AF518&lt;AG518,P518,IF(AND(AF518&gt;=AG518,AF518&lt;=AE518),(P518-T518),IF(AND(AG518&lt;=AD518,AE518&gt;=AD518),0,IF(AF518&gt;AE518,((AG518-AD518)*12)*Q518,0)))))</f>
        <v>2000</v>
      </c>
      <c r="Y518" s="342">
        <f>X518*U518</f>
        <v>2000</v>
      </c>
      <c r="Z518" s="342">
        <v>1</v>
      </c>
      <c r="AA518" s="342">
        <f>Y518*Z518</f>
        <v>2000</v>
      </c>
      <c r="AB518" s="342">
        <f>IF(O518&gt;0,0,AA518+V518*Z518)*Z518</f>
        <v>2000</v>
      </c>
      <c r="AC518" s="342">
        <f>IF(O518&gt;0,(N518-AA518)/2,IF(AD518&gt;=AG518,(((N518*U518)*Z518)-AB518)/2,((((N518*U518)*Z518)-AA518)+(((N518*U518)*Z518)-AB518))/2))</f>
        <v>0</v>
      </c>
      <c r="AD518" s="342">
        <f>$E518+(($F518-1)/12)</f>
        <v>1990.25</v>
      </c>
      <c r="AE518" s="342">
        <f t="shared" si="429"/>
        <v>2018</v>
      </c>
      <c r="AF518" s="342">
        <f>$K518+(($F518-1)/12)</f>
        <v>2000.25</v>
      </c>
      <c r="AG518" s="342">
        <f t="shared" si="410"/>
        <v>2017</v>
      </c>
      <c r="AH518" s="342">
        <f>$L518+(($M518-1)/12)</f>
        <v>-8.3333333333333329E-2</v>
      </c>
      <c r="AJ518" s="6"/>
      <c r="AK518" s="6"/>
      <c r="AL518" s="6"/>
      <c r="AM518" s="6"/>
      <c r="AN518" s="6"/>
      <c r="AO518" s="6"/>
      <c r="AP518" s="6"/>
      <c r="AQ518" s="6"/>
      <c r="AR518" s="6"/>
    </row>
    <row r="519" spans="2:76" s="343" customFormat="1">
      <c r="B519" s="342"/>
      <c r="C519" s="343">
        <v>27</v>
      </c>
      <c r="D519" s="343" t="s">
        <v>16</v>
      </c>
      <c r="E519" s="343">
        <v>1990</v>
      </c>
      <c r="F519" s="344">
        <v>6</v>
      </c>
      <c r="G519" s="345">
        <v>0</v>
      </c>
      <c r="H519" s="342"/>
      <c r="I519" s="346" t="s">
        <v>86</v>
      </c>
      <c r="J519" s="344">
        <v>10</v>
      </c>
      <c r="K519" s="347">
        <f>E519+J519</f>
        <v>2000</v>
      </c>
      <c r="N519" s="348">
        <v>2870</v>
      </c>
      <c r="P519" s="342">
        <f>N519-N519*G519</f>
        <v>2870</v>
      </c>
      <c r="Q519" s="342">
        <f>P519/J519/12</f>
        <v>23.916666666666668</v>
      </c>
      <c r="R519" s="342">
        <f>IF(O519&gt;0,0,IF(OR(AD519&gt;AE519,AF519&lt;AG519),0,IF(AND(AF519&gt;=AG519,AF519&lt;=AE519),Q519*((AF519-AG519)*12),IF(AND(AG519&lt;=AD519,AE519&gt;=AD519),((AE519-AD519)*12)*Q519,IF(AF519&gt;AE519,12*Q519,0)))))</f>
        <v>0</v>
      </c>
      <c r="S519" s="349"/>
      <c r="T519" s="342">
        <f>IF(S519&gt;0,S519,R519)</f>
        <v>0</v>
      </c>
      <c r="U519" s="342">
        <v>1</v>
      </c>
      <c r="V519" s="342">
        <f>U519*SUM(R519:S519)</f>
        <v>0</v>
      </c>
      <c r="W519" s="342"/>
      <c r="X519" s="342">
        <f>IF(AD519&gt;AE519,0,IF(AF519&lt;AG519,P519,IF(AND(AF519&gt;=AG519,AF519&lt;=AE519),(P519-T519),IF(AND(AG519&lt;=AD519,AE519&gt;=AD519),0,IF(AF519&gt;AE519,((AG519-AD519)*12)*Q519,0)))))</f>
        <v>2870</v>
      </c>
      <c r="Y519" s="342">
        <f>X519*U519</f>
        <v>2870</v>
      </c>
      <c r="Z519" s="342">
        <v>1</v>
      </c>
      <c r="AA519" s="342">
        <f>Y519*Z519</f>
        <v>2870</v>
      </c>
      <c r="AB519" s="342">
        <f>IF(O519&gt;0,0,AA519+V519*Z519)*Z519</f>
        <v>2870</v>
      </c>
      <c r="AC519" s="342">
        <f>IF(O519&gt;0,(N519-AA519)/2,IF(AD519&gt;=AG519,(((N519*U519)*Z519)-AB519)/2,((((N519*U519)*Z519)-AA519)+(((N519*U519)*Z519)-AB519))/2))</f>
        <v>0</v>
      </c>
      <c r="AD519" s="342">
        <f>$E519+(($F519-1)/12)</f>
        <v>1990.4166666666667</v>
      </c>
      <c r="AE519" s="342">
        <f t="shared" si="429"/>
        <v>2018</v>
      </c>
      <c r="AF519" s="342">
        <f>$K519+(($F519-1)/12)</f>
        <v>2000.4166666666667</v>
      </c>
      <c r="AG519" s="342">
        <f t="shared" si="410"/>
        <v>2017</v>
      </c>
      <c r="AH519" s="342">
        <f>$L519+(($M519-1)/12)</f>
        <v>-8.3333333333333329E-2</v>
      </c>
      <c r="AJ519" s="6"/>
      <c r="AK519" s="6"/>
      <c r="AL519" s="6"/>
      <c r="AM519" s="6"/>
      <c r="AN519" s="6"/>
      <c r="AO519" s="6"/>
      <c r="AP519" s="6"/>
      <c r="AQ519" s="6"/>
      <c r="AR519" s="6"/>
    </row>
    <row r="520" spans="2:76" s="343" customFormat="1">
      <c r="C520" s="343">
        <v>28</v>
      </c>
      <c r="D520" s="343" t="s">
        <v>16</v>
      </c>
      <c r="E520" s="343">
        <v>1990</v>
      </c>
      <c r="F520" s="344">
        <v>10</v>
      </c>
      <c r="G520" s="345">
        <v>0</v>
      </c>
      <c r="H520" s="342"/>
      <c r="I520" s="346" t="s">
        <v>86</v>
      </c>
      <c r="J520" s="344">
        <v>10</v>
      </c>
      <c r="K520" s="347">
        <f>E520+J520</f>
        <v>2000</v>
      </c>
      <c r="N520" s="348">
        <v>8550</v>
      </c>
      <c r="P520" s="342">
        <f>N520-N520*G520</f>
        <v>8550</v>
      </c>
      <c r="Q520" s="342">
        <f>P520/J520/12</f>
        <v>71.25</v>
      </c>
      <c r="R520" s="342">
        <f>IF(O520&gt;0,0,IF(OR(AD520&gt;AE520,AF520&lt;AG520),0,IF(AND(AF520&gt;=AG520,AF520&lt;=AE520),Q520*((AF520-AG520)*12),IF(AND(AG520&lt;=AD520,AE520&gt;=AD520),((AE520-AD520)*12)*Q520,IF(AF520&gt;AE520,12*Q520,0)))))</f>
        <v>0</v>
      </c>
      <c r="T520" s="342">
        <f>IF(S520&gt;0,S520,R520)</f>
        <v>0</v>
      </c>
      <c r="U520" s="342">
        <v>1</v>
      </c>
      <c r="V520" s="342">
        <f>U520*SUM(R520:S520)</f>
        <v>0</v>
      </c>
      <c r="W520" s="342"/>
      <c r="X520" s="342">
        <f>IF(AD520&gt;AE520,0,IF(AF520&lt;AG520,P520,IF(AND(AF520&gt;=AG520,AF520&lt;=AE520),(P520-T520),IF(AND(AG520&lt;=AD520,AE520&gt;=AD520),0,IF(AF520&gt;AE520,((AG520-AD520)*12)*Q520,0)))))</f>
        <v>8550</v>
      </c>
      <c r="Y520" s="342">
        <f>X520*U520</f>
        <v>8550</v>
      </c>
      <c r="Z520" s="342">
        <v>1</v>
      </c>
      <c r="AA520" s="342">
        <f>Y520*Z520</f>
        <v>8550</v>
      </c>
      <c r="AB520" s="342">
        <f>IF(O520&gt;0,0,AA520+V520*Z520)*Z520</f>
        <v>8550</v>
      </c>
      <c r="AC520" s="342">
        <f>IF(O520&gt;0,(N520-AA520)/2,IF(AD520&gt;=AG520,(((N520*U520)*Z520)-AB520)/2,((((N520*U520)*Z520)-AA520)+(((N520*U520)*Z520)-AB520))/2))</f>
        <v>0</v>
      </c>
      <c r="AD520" s="342">
        <f>$E520+(($F520-1)/12)</f>
        <v>1990.75</v>
      </c>
      <c r="AE520" s="342">
        <f t="shared" si="429"/>
        <v>2018</v>
      </c>
      <c r="AF520" s="342">
        <f>$K520+(($F520-1)/12)</f>
        <v>2000.75</v>
      </c>
      <c r="AG520" s="342">
        <f t="shared" si="410"/>
        <v>2017</v>
      </c>
      <c r="AH520" s="342">
        <f>$L520+(($M520-1)/12)</f>
        <v>-8.3333333333333329E-2</v>
      </c>
      <c r="AJ520" s="6"/>
      <c r="AK520" s="6"/>
      <c r="AL520" s="6"/>
      <c r="AM520" s="6"/>
      <c r="AN520" s="6"/>
      <c r="AO520" s="6"/>
      <c r="AP520" s="6"/>
      <c r="AQ520" s="6"/>
      <c r="AR520" s="6"/>
    </row>
    <row r="521" spans="2:76" s="343" customFormat="1">
      <c r="C521" s="343">
        <v>54</v>
      </c>
      <c r="D521" s="350" t="s">
        <v>150</v>
      </c>
      <c r="E521" s="343">
        <v>2002</v>
      </c>
      <c r="F521" s="344">
        <v>12</v>
      </c>
      <c r="G521" s="345">
        <v>0</v>
      </c>
      <c r="H521" s="342"/>
      <c r="I521" s="346" t="s">
        <v>86</v>
      </c>
      <c r="J521" s="344">
        <v>10</v>
      </c>
      <c r="K521" s="347">
        <f>E521+J521</f>
        <v>2012</v>
      </c>
      <c r="N521" s="348">
        <v>3249</v>
      </c>
      <c r="P521" s="342">
        <f>N521-N521*G521</f>
        <v>3249</v>
      </c>
      <c r="Q521" s="342">
        <f>P521/J521/12</f>
        <v>27.074999999999999</v>
      </c>
      <c r="R521" s="342">
        <f>IF(O521&gt;0,0,IF(OR(AD521&gt;AE521,AF521&lt;AG521),0,IF(AND(AF521&gt;=AG521,AF521&lt;=AE521),Q521*((AF521-AG521)*12),IF(AND(AG521&lt;=AD521,AE521&gt;=AD521),((AE521-AD521)*12)*Q521,IF(AF521&gt;AE521,12*Q521,0)))))</f>
        <v>0</v>
      </c>
      <c r="T521" s="342">
        <f>IF(S521&gt;0,S521,R521)</f>
        <v>0</v>
      </c>
      <c r="U521" s="342">
        <v>1</v>
      </c>
      <c r="V521" s="342">
        <f>U521*SUM(R521:S521)</f>
        <v>0</v>
      </c>
      <c r="W521" s="342"/>
      <c r="X521" s="342">
        <f>IF(AD521&gt;AE521,0,IF(AF521&lt;AG521,P521,IF(AND(AF521&gt;=AG521,AF521&lt;=AE521),(P521-T521),IF(AND(AG521&lt;=AD521,AE521&gt;=AD521),0,IF(AF521&gt;AE521,((AG521-AD521)*12)*Q521,0)))))</f>
        <v>3249</v>
      </c>
      <c r="Y521" s="342">
        <f>X521*U521</f>
        <v>3249</v>
      </c>
      <c r="Z521" s="342">
        <v>1</v>
      </c>
      <c r="AA521" s="342">
        <f>Y521*Z521</f>
        <v>3249</v>
      </c>
      <c r="AB521" s="342">
        <f>IF(O521&gt;0,0,AA521+V521*Z521)*Z521</f>
        <v>3249</v>
      </c>
      <c r="AC521" s="342">
        <f>IF(O521&gt;0,(N521-AA521)/2,IF(AD521&gt;=AG521,(((N521*U521)*Z521)-AB521)/2,((((N521*U521)*Z521)-AA521)+(((N521*U521)*Z521)-AB521))/2))</f>
        <v>0</v>
      </c>
      <c r="AD521" s="342">
        <f>$E521+(($F521-1)/12)</f>
        <v>2002.9166666666667</v>
      </c>
      <c r="AE521" s="342">
        <f>($P$5+1)-($P$2/12)</f>
        <v>2018</v>
      </c>
      <c r="AF521" s="342">
        <f>$K521+(($F521-1)/12)</f>
        <v>2012.9166666666667</v>
      </c>
      <c r="AG521" s="342">
        <f t="shared" si="436"/>
        <v>2017</v>
      </c>
      <c r="AH521" s="342">
        <f>$L521+(($M521-1)/12)</f>
        <v>-8.3333333333333329E-2</v>
      </c>
      <c r="AJ521" s="6"/>
      <c r="AK521" s="6"/>
      <c r="AL521" s="6"/>
      <c r="AM521" s="6"/>
      <c r="AN521" s="6"/>
      <c r="AO521" s="6"/>
      <c r="AP521" s="6"/>
      <c r="AQ521" s="6"/>
      <c r="AR521" s="6"/>
    </row>
    <row r="522" spans="2:76">
      <c r="M522" s="310"/>
      <c r="O522" s="310"/>
      <c r="P522" s="310"/>
      <c r="Q522" s="310"/>
      <c r="R522" s="310"/>
      <c r="S522" s="335"/>
      <c r="W522" s="310"/>
      <c r="X522" s="310"/>
      <c r="Y522" s="310"/>
      <c r="Z522" s="310"/>
      <c r="AA522" s="310"/>
      <c r="AB522" s="310"/>
      <c r="AC522" s="310"/>
    </row>
    <row r="523" spans="2:76">
      <c r="M523" s="310"/>
      <c r="O523" s="310"/>
      <c r="P523" s="310"/>
      <c r="Q523" s="310"/>
      <c r="R523" s="310"/>
      <c r="S523" s="335"/>
      <c r="W523" s="310"/>
      <c r="X523" s="310"/>
      <c r="Y523" s="310"/>
      <c r="Z523" s="310"/>
      <c r="AA523" s="310"/>
      <c r="AB523" s="310"/>
      <c r="AC523" s="310"/>
    </row>
    <row r="524" spans="2:76" s="331" customFormat="1">
      <c r="B524" s="351"/>
      <c r="D524" s="352"/>
      <c r="F524" s="351"/>
      <c r="G524" s="353"/>
      <c r="H524" s="354"/>
      <c r="I524" s="355"/>
      <c r="J524" s="351"/>
      <c r="K524" s="356"/>
      <c r="N524" s="357"/>
      <c r="O524" s="358"/>
      <c r="P524" s="354"/>
      <c r="Q524" s="354"/>
      <c r="R524" s="354"/>
      <c r="S524" s="354"/>
      <c r="T524" s="354"/>
      <c r="U524" s="354"/>
      <c r="V524" s="354"/>
      <c r="W524" s="354"/>
      <c r="X524" s="354"/>
      <c r="Y524" s="354"/>
      <c r="Z524" s="354"/>
      <c r="AA524" s="354"/>
      <c r="AB524" s="354"/>
      <c r="AC524" s="354"/>
      <c r="AD524" s="354"/>
      <c r="AE524" s="354"/>
      <c r="AF524" s="354"/>
      <c r="AG524" s="354"/>
      <c r="AH524" s="354"/>
      <c r="AJ524" s="5"/>
      <c r="AK524" s="5"/>
      <c r="AL524" s="5"/>
      <c r="AM524" s="5"/>
      <c r="AN524" s="5"/>
      <c r="AO524" s="5"/>
      <c r="AP524" s="5"/>
      <c r="AQ524" s="5"/>
      <c r="AR524" s="5"/>
    </row>
    <row r="525" spans="2:76">
      <c r="D525" s="341" t="s">
        <v>302</v>
      </c>
      <c r="M525" s="310"/>
      <c r="O525" s="310"/>
      <c r="P525" s="310"/>
      <c r="Q525" s="310"/>
      <c r="R525" s="310"/>
      <c r="S525" s="335"/>
      <c r="W525" s="310"/>
      <c r="X525" s="310"/>
      <c r="Y525" s="310"/>
      <c r="Z525" s="310"/>
      <c r="AA525" s="310"/>
      <c r="AB525" s="310"/>
      <c r="AC525" s="310"/>
    </row>
    <row r="526" spans="2:76" s="343" customFormat="1">
      <c r="D526" s="343" t="s">
        <v>229</v>
      </c>
      <c r="E526" s="343">
        <v>1987</v>
      </c>
      <c r="F526" s="344">
        <v>6</v>
      </c>
      <c r="G526" s="345">
        <v>0</v>
      </c>
      <c r="H526" s="342"/>
      <c r="I526" s="346" t="s">
        <v>86</v>
      </c>
      <c r="J526" s="344">
        <v>5</v>
      </c>
      <c r="K526" s="347">
        <f>E526+J526</f>
        <v>1992</v>
      </c>
      <c r="N526" s="348">
        <v>970</v>
      </c>
      <c r="P526" s="342">
        <f>N526-N526*G526</f>
        <v>970</v>
      </c>
      <c r="Q526" s="342">
        <f>P526/J526/12</f>
        <v>16.166666666666668</v>
      </c>
      <c r="R526" s="342">
        <f>IF(O526&gt;0,0,IF(OR(AD526&gt;AE526,AF526&lt;AG526),0,IF(AND(AF526&gt;=AG526,AF526&lt;=AE526),Q526*((AF526-AG526)*12),IF(AND(AG526&lt;=AD526,AE526&gt;=AD526),((AE526-AD526)*12)*Q526,IF(AF526&gt;AE526,12*Q526,0)))))</f>
        <v>0</v>
      </c>
      <c r="T526" s="342">
        <f>IF(S526&gt;0,S526,R526)</f>
        <v>0</v>
      </c>
      <c r="U526" s="342">
        <v>1</v>
      </c>
      <c r="V526" s="342">
        <f>U526*SUM(R526:S526)</f>
        <v>0</v>
      </c>
      <c r="W526" s="342"/>
      <c r="X526" s="342">
        <f>IF(AD526&gt;AE526,0,IF(AF526&lt;AG526,P526,IF(AND(AF526&gt;=AG526,AF526&lt;=AE526),(P526-T526),IF(AND(AG526&lt;=AD526,AE526&gt;=AD526),0,IF(AF526&gt;AE526,((AG526-AD526)*12)*Q526,0)))))</f>
        <v>970</v>
      </c>
      <c r="Y526" s="342">
        <f>X526*U526</f>
        <v>970</v>
      </c>
      <c r="Z526" s="342">
        <v>1</v>
      </c>
      <c r="AA526" s="342">
        <f>Y526*Z526</f>
        <v>970</v>
      </c>
      <c r="AB526" s="342">
        <f>IF(O526&gt;0,0,AA526+V526*Z526)*Z526</f>
        <v>970</v>
      </c>
      <c r="AC526" s="342">
        <f>IF(O526&gt;0,(N526-AA526)/2,IF(AD526&gt;=AG526,(((N526*U526)*Z526)-AB526)/2,((((N526*U526)*Z526)-AA526)+(((N526*U526)*Z526)-AB526))/2))</f>
        <v>0</v>
      </c>
      <c r="AD526" s="342">
        <f>$E526+(($F526-1)/12)</f>
        <v>1987.4166666666667</v>
      </c>
      <c r="AE526" s="342">
        <f t="shared" si="292"/>
        <v>2018</v>
      </c>
      <c r="AF526" s="342">
        <f>$K526+(($F526-1)/12)</f>
        <v>1992.4166666666667</v>
      </c>
      <c r="AG526" s="342">
        <f t="shared" si="293"/>
        <v>2017</v>
      </c>
      <c r="AH526" s="342">
        <f>$L526+(($M526-1)/12)</f>
        <v>-8.3333333333333329E-2</v>
      </c>
      <c r="AJ526" s="6"/>
      <c r="AK526" s="6"/>
      <c r="AL526" s="6"/>
      <c r="AM526" s="6"/>
      <c r="AN526" s="6"/>
      <c r="AO526" s="6"/>
      <c r="AP526" s="6"/>
      <c r="AQ526" s="6"/>
      <c r="AR526" s="6"/>
    </row>
    <row r="527" spans="2:76" s="343" customFormat="1">
      <c r="B527" s="344" t="s">
        <v>84</v>
      </c>
      <c r="C527" s="343">
        <v>16</v>
      </c>
      <c r="D527" s="350" t="s">
        <v>85</v>
      </c>
      <c r="E527" s="343">
        <v>1994</v>
      </c>
      <c r="F527" s="344">
        <v>8</v>
      </c>
      <c r="G527" s="345">
        <v>0.2</v>
      </c>
      <c r="H527" s="342"/>
      <c r="I527" s="346" t="s">
        <v>86</v>
      </c>
      <c r="J527" s="344">
        <v>5</v>
      </c>
      <c r="K527" s="347">
        <f>E527+J527</f>
        <v>1999</v>
      </c>
      <c r="N527" s="348">
        <f>101658</f>
        <v>101658</v>
      </c>
      <c r="O527" s="359">
        <v>0</v>
      </c>
      <c r="P527" s="342">
        <f>N527-N527*G527</f>
        <v>81326.399999999994</v>
      </c>
      <c r="Q527" s="342">
        <f>P527/J527/12</f>
        <v>1355.4399999999998</v>
      </c>
      <c r="R527" s="342">
        <f>IF(O527&gt;0,0,IF(OR(AD527&gt;AE527,AF527&lt;AG527),0,IF(AND(AF527&gt;=AG527,AF527&lt;=AE527),Q527*((AF527-AG527)*12),IF(AND(AG527&lt;=AD527,AE527&gt;=AD527),((AE527-AD527)*12)*Q527,IF(AF527&gt;AE527,12*Q527,0)))))</f>
        <v>0</v>
      </c>
      <c r="S527" s="342">
        <f>IF(O527=0,0,IF(AND(AH527&gt;=AG527,AH527&lt;=AF527),((AH527-AG527)*12)*Q527,0))</f>
        <v>0</v>
      </c>
      <c r="T527" s="342">
        <f>IF(S527&gt;0,S527,R527)</f>
        <v>0</v>
      </c>
      <c r="U527" s="342">
        <v>1</v>
      </c>
      <c r="V527" s="342">
        <f>U527*SUM(R527:S527)</f>
        <v>0</v>
      </c>
      <c r="W527" s="342"/>
      <c r="X527" s="342">
        <f>IF(AD527&gt;AE527,0,IF(AF527&lt;AG527,P527,IF(AND(AF527&gt;=AG527,AF527&lt;=AE527),(P527-T527),IF(AND(AG527&lt;=AD527,AE527&gt;=AD527),0,IF(AF527&gt;AE527,((AG527-AD527)*12)*Q527,0)))))</f>
        <v>81326.399999999994</v>
      </c>
      <c r="Y527" s="342">
        <f>X527*U527</f>
        <v>81326.399999999994</v>
      </c>
      <c r="Z527" s="342">
        <v>1</v>
      </c>
      <c r="AA527" s="342">
        <f>Y527*Z527</f>
        <v>81326.399999999994</v>
      </c>
      <c r="AB527" s="342">
        <f>IF(O527&gt;0,0,AA527+V527*Z527)*Z527</f>
        <v>81326.399999999994</v>
      </c>
      <c r="AC527" s="342">
        <f>IF(O527&gt;0,(N527-AA527)/2,IF(AD527&gt;=AG527,(((N527*U527)*Z527)-AB527)/2,((((N527*U527)*Z527)-AA527)+(((N527*U527)*Z527)-AB527))/2))</f>
        <v>20331.600000000006</v>
      </c>
      <c r="AD527" s="342">
        <f>$E527+(($F527-1)/12)</f>
        <v>1994.5833333333333</v>
      </c>
      <c r="AE527" s="342">
        <f t="shared" si="12"/>
        <v>2018</v>
      </c>
      <c r="AF527" s="342">
        <f>$K527+(($F527-1)/12)</f>
        <v>1999.5833333333333</v>
      </c>
      <c r="AG527" s="342">
        <f t="shared" si="14"/>
        <v>2017</v>
      </c>
      <c r="AH527" s="342">
        <f>$L527+(($M527-1)/12)</f>
        <v>-8.3333333333333329E-2</v>
      </c>
      <c r="AJ527" s="6"/>
      <c r="AK527" s="6"/>
      <c r="AL527" s="6"/>
      <c r="AM527" s="6"/>
      <c r="AN527" s="6"/>
      <c r="AO527" s="6"/>
      <c r="AP527" s="6"/>
      <c r="AQ527" s="6"/>
      <c r="AR527" s="6"/>
      <c r="BX527" s="343" t="s">
        <v>87</v>
      </c>
    </row>
    <row r="528" spans="2:76">
      <c r="M528" s="310"/>
      <c r="O528" s="310"/>
      <c r="P528" s="310"/>
      <c r="Q528" s="310"/>
      <c r="R528" s="310"/>
      <c r="S528" s="335"/>
      <c r="W528" s="310"/>
      <c r="X528" s="310"/>
      <c r="Y528" s="310"/>
      <c r="Z528" s="310"/>
      <c r="AA528" s="310"/>
      <c r="AB528" s="310"/>
      <c r="AC528" s="310"/>
    </row>
    <row r="529" spans="2:34">
      <c r="D529" s="311"/>
      <c r="M529" s="317"/>
      <c r="N529" s="330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  <c r="AA529" s="317"/>
      <c r="AB529" s="317"/>
      <c r="AC529" s="317"/>
    </row>
    <row r="530" spans="2:34">
      <c r="D530" s="341" t="s">
        <v>321</v>
      </c>
      <c r="M530" s="317"/>
      <c r="N530" s="330"/>
      <c r="O530" s="317"/>
      <c r="P530" s="317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  <c r="AA530" s="317"/>
      <c r="AB530" s="317"/>
      <c r="AC530" s="317"/>
    </row>
    <row r="531" spans="2:34">
      <c r="C531" s="282">
        <v>2</v>
      </c>
      <c r="D531" s="329" t="s">
        <v>192</v>
      </c>
      <c r="E531" s="282">
        <v>2006</v>
      </c>
      <c r="F531" s="284">
        <v>6</v>
      </c>
      <c r="G531" s="307">
        <v>0</v>
      </c>
      <c r="H531" s="286"/>
      <c r="I531" s="308" t="s">
        <v>86</v>
      </c>
      <c r="J531" s="284">
        <v>10</v>
      </c>
      <c r="K531" s="309">
        <f>E531+J531</f>
        <v>2016</v>
      </c>
      <c r="N531" s="285">
        <v>6600</v>
      </c>
      <c r="P531" s="286">
        <f>N531-N531*G531</f>
        <v>6600</v>
      </c>
      <c r="Q531" s="286">
        <f>P531/J531/12</f>
        <v>55</v>
      </c>
      <c r="R531" s="286">
        <f>IF(O531&gt;0,0,IF(OR(AD531&gt;AE531,AF531&lt;AG531),0,IF(AND(AF531&gt;=AG531,AF531&lt;=AE531),Q531*((AF531-AG531)*12),IF(AND(AG531&lt;=AD531,AE531&gt;=AD531),((AE531-AD531)*12)*Q531,IF(AF531&gt;AE531,12*Q531,0)))))</f>
        <v>0</v>
      </c>
      <c r="T531" s="286">
        <f>IF(S531&gt;0,S531,R531)</f>
        <v>0</v>
      </c>
      <c r="U531" s="286">
        <v>1</v>
      </c>
      <c r="V531" s="286">
        <f>U531*SUM(R531:S531)</f>
        <v>0</v>
      </c>
      <c r="W531" s="286"/>
      <c r="X531" s="286">
        <f>IF(AD531&gt;AE531,0,IF(AF531&lt;AG531,P531,IF(AND(AF531&gt;=AG531,AF531&lt;=AE531),(P531-T531),IF(AND(AG531&lt;=AD531,AE531&gt;=AD531),0,IF(AF531&gt;AE531,((AG531-AD531)*12)*Q531,0)))))</f>
        <v>6600</v>
      </c>
      <c r="Y531" s="286">
        <f>X531*U531</f>
        <v>6600</v>
      </c>
      <c r="Z531" s="286">
        <v>1</v>
      </c>
      <c r="AA531" s="286">
        <f>Y531*Z531</f>
        <v>6600</v>
      </c>
      <c r="AB531" s="286">
        <f>IF(O531&gt;0,0,AA531+V531*Z531)*Z531</f>
        <v>6600</v>
      </c>
      <c r="AC531" s="286">
        <f>IF(O531&gt;0,(N531-AA531)/2,IF(AD531&gt;=AG531,(((N531*U531)*Z531)-AB531)/2,((((N531*U531)*Z531)-AA531)+(((N531*U531)*Z531)-AB531))/2))</f>
        <v>0</v>
      </c>
      <c r="AD531" s="286">
        <f>$E531+(($F531-1)/12)</f>
        <v>2006.4166666666667</v>
      </c>
      <c r="AE531" s="286">
        <f t="shared" si="519"/>
        <v>2018</v>
      </c>
      <c r="AF531" s="286">
        <f>$K531+(($F531-1)/12)</f>
        <v>2016.4166666666667</v>
      </c>
      <c r="AG531" s="286">
        <f t="shared" si="521"/>
        <v>2017</v>
      </c>
      <c r="AH531" s="286">
        <f>$L531+(($M531-1)/12)</f>
        <v>-8.3333333333333329E-2</v>
      </c>
    </row>
    <row r="532" spans="2:34">
      <c r="B532" s="284" t="s">
        <v>99</v>
      </c>
      <c r="C532" s="282">
        <v>34</v>
      </c>
      <c r="D532" s="306" t="s">
        <v>103</v>
      </c>
      <c r="E532" s="282">
        <v>2009</v>
      </c>
      <c r="F532" s="284">
        <v>12</v>
      </c>
      <c r="G532" s="307">
        <v>0.2</v>
      </c>
      <c r="H532" s="286"/>
      <c r="I532" s="308" t="s">
        <v>86</v>
      </c>
      <c r="J532" s="284">
        <v>7</v>
      </c>
      <c r="K532" s="309">
        <f>E532+J532</f>
        <v>2016</v>
      </c>
      <c r="N532" s="285">
        <v>143203.54999999999</v>
      </c>
      <c r="O532" s="310"/>
      <c r="P532" s="286">
        <f>N532-N532*G532</f>
        <v>114562.84</v>
      </c>
      <c r="Q532" s="286">
        <f>P532/J532/12</f>
        <v>1363.8433333333332</v>
      </c>
      <c r="R532" s="286">
        <f>IF(O532&gt;0,0,IF(OR(AD532&gt;AE532,AF532&lt;AG532),0,IF(AND(AF532&gt;=AG532,AF532&lt;=AE532),Q532*((AF532-AG532)*12),IF(AND(AG532&lt;=AD532,AE532&gt;=AD532),((AE532-AD532)*12)*Q532,IF(AF532&gt;AE532,12*Q532,0)))))</f>
        <v>0</v>
      </c>
      <c r="S532" s="286"/>
      <c r="T532" s="286">
        <f>IF(S532&gt;0,S532,R532)</f>
        <v>0</v>
      </c>
      <c r="U532" s="286">
        <v>1</v>
      </c>
      <c r="V532" s="286">
        <f>U532*SUM(R532:S532)</f>
        <v>0</v>
      </c>
      <c r="W532" s="286"/>
      <c r="X532" s="286">
        <f>IF(AD532&gt;AE532,0,IF(AF532&lt;AG532,P532,IF(AND(AF532&gt;=AG532,AF532&lt;=AE532),(P532-T532),IF(AND(AG532&lt;=AD532,AE532&gt;=AD532),0,IF(AF532&gt;AE532,((AG532-AD532)*12)*Q532,0)))))</f>
        <v>114562.84</v>
      </c>
      <c r="Y532" s="286">
        <f>X532*U532</f>
        <v>114562.84</v>
      </c>
      <c r="Z532" s="286">
        <v>1</v>
      </c>
      <c r="AA532" s="286">
        <f>Y532*Z532</f>
        <v>114562.84</v>
      </c>
      <c r="AB532" s="286">
        <f>IF(O532&gt;0,0,AA532+V532*Z532)*Z532</f>
        <v>114562.84</v>
      </c>
      <c r="AC532" s="286">
        <f>IF(O532&gt;0,(N532-AA532)/2,IF(AD532&gt;=AG532,(((N532*U532)*Z532)-AB532)/2,((((N532*U532)*Z532)-AA532)+(((N532*U532)*Z532)-AB532))/2))</f>
        <v>28640.709999999992</v>
      </c>
      <c r="AD532" s="286">
        <f>$E532+(($F532-1)/12)</f>
        <v>2009.9166666666667</v>
      </c>
      <c r="AE532" s="286">
        <f t="shared" si="12"/>
        <v>2018</v>
      </c>
      <c r="AF532" s="286">
        <f>$K532+(($F532-1)/12)</f>
        <v>2016.9166666666667</v>
      </c>
      <c r="AG532" s="286">
        <f t="shared" si="14"/>
        <v>2017</v>
      </c>
      <c r="AH532" s="286">
        <f>$L532+(($M532-1)/12)</f>
        <v>-8.3333333333333329E-2</v>
      </c>
    </row>
    <row r="533" spans="2:34">
      <c r="D533" s="311"/>
      <c r="M533" s="317"/>
      <c r="N533" s="330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</row>
    <row r="534" spans="2:34">
      <c r="D534" s="311"/>
      <c r="M534" s="317"/>
      <c r="N534" s="330"/>
      <c r="O534" s="317"/>
      <c r="P534" s="317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  <c r="AA534" s="317"/>
      <c r="AB534" s="317"/>
      <c r="AC534" s="317"/>
    </row>
    <row r="535" spans="2:34">
      <c r="D535" s="341" t="s">
        <v>326</v>
      </c>
      <c r="M535" s="317"/>
      <c r="N535" s="330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</row>
    <row r="536" spans="2:34">
      <c r="B536" s="284" t="s">
        <v>94</v>
      </c>
      <c r="C536" s="282">
        <v>13</v>
      </c>
      <c r="D536" s="306" t="s">
        <v>97</v>
      </c>
      <c r="E536" s="282">
        <v>2009</v>
      </c>
      <c r="F536" s="284">
        <v>3</v>
      </c>
      <c r="G536" s="307">
        <v>0.33</v>
      </c>
      <c r="H536" s="286"/>
      <c r="I536" s="308" t="s">
        <v>86</v>
      </c>
      <c r="J536" s="284">
        <v>5</v>
      </c>
      <c r="K536" s="309">
        <f>E536+J536</f>
        <v>2014</v>
      </c>
      <c r="N536" s="285">
        <v>25333.34</v>
      </c>
      <c r="O536" s="310"/>
      <c r="P536" s="286">
        <f>N536-N536*G536</f>
        <v>16973.337800000001</v>
      </c>
      <c r="Q536" s="286">
        <f>P536/J536/12</f>
        <v>282.88896333333338</v>
      </c>
      <c r="R536" s="286">
        <f>IF(O536&gt;0,0,IF(OR(AD536&gt;AE536,AF536&lt;AG536),0,IF(AND(AF536&gt;=AG536,AF536&lt;=AE536),Q536*((AF536-AG536)*12),IF(AND(AG536&lt;=AD536,AE536&gt;=AD536),((AE536-AD536)*12)*Q536,IF(AF536&gt;AE536,12*Q536,0)))))</f>
        <v>0</v>
      </c>
      <c r="S536" s="286"/>
      <c r="T536" s="286">
        <f>IF(S536&gt;0,S536,R536)</f>
        <v>0</v>
      </c>
      <c r="U536" s="286">
        <v>1</v>
      </c>
      <c r="V536" s="286">
        <f>U536*SUM(R536:S536)</f>
        <v>0</v>
      </c>
      <c r="W536" s="286"/>
      <c r="X536" s="286">
        <f>IF(AD536&gt;AE536,0,IF(AF536&lt;AG536,P536,IF(AND(AF536&gt;=AG536,AF536&lt;=AE536),(P536-T536),IF(AND(AG536&lt;=AD536,AE536&gt;=AD536),0,IF(AF536&gt;AE536,((AG536-AD536)*12)*Q536,0)))))</f>
        <v>16973.337800000001</v>
      </c>
      <c r="Y536" s="286">
        <f>X536*U536</f>
        <v>16973.337800000001</v>
      </c>
      <c r="Z536" s="286">
        <v>1</v>
      </c>
      <c r="AA536" s="286">
        <f>Y536*Z536</f>
        <v>16973.337800000001</v>
      </c>
      <c r="AB536" s="286">
        <f>IF(O536&gt;0,0,AA536+V536*Z536)*Z536</f>
        <v>16973.337800000001</v>
      </c>
      <c r="AC536" s="286">
        <f>IF(O536&gt;0,(N536-AA536)/2,IF(AD536&gt;=AG536,(((N536*U536)*Z536)-AB536)/2,((((N536*U536)*Z536)-AA536)+(((N536*U536)*Z536)-AB536))/2))</f>
        <v>8360.002199999999</v>
      </c>
      <c r="AD536" s="286">
        <f>$E536+(($F536-1)/12)</f>
        <v>2009.1666666666667</v>
      </c>
      <c r="AE536" s="286">
        <f t="shared" si="12"/>
        <v>2018</v>
      </c>
      <c r="AF536" s="286">
        <f>$K536+(($F536-1)/12)</f>
        <v>2014.1666666666667</v>
      </c>
      <c r="AG536" s="286">
        <f t="shared" si="14"/>
        <v>2017</v>
      </c>
      <c r="AH536" s="286">
        <f>$L536+(($M536-1)/12)</f>
        <v>-8.3333333333333329E-2</v>
      </c>
    </row>
    <row r="537" spans="2:34">
      <c r="B537" s="284" t="s">
        <v>88</v>
      </c>
      <c r="C537" s="282">
        <v>5</v>
      </c>
      <c r="D537" s="306" t="s">
        <v>134</v>
      </c>
      <c r="E537" s="282">
        <v>2006</v>
      </c>
      <c r="F537" s="284">
        <v>5</v>
      </c>
      <c r="G537" s="307">
        <v>0.2</v>
      </c>
      <c r="H537" s="286"/>
      <c r="I537" s="308" t="s">
        <v>86</v>
      </c>
      <c r="J537" s="284">
        <v>7</v>
      </c>
      <c r="K537" s="309">
        <f>E537+J537</f>
        <v>2013</v>
      </c>
      <c r="N537" s="285">
        <v>117561</v>
      </c>
      <c r="O537" s="310"/>
      <c r="P537" s="286">
        <f>N537-N537*G537</f>
        <v>94048.8</v>
      </c>
      <c r="Q537" s="286">
        <f>P537/J537/12</f>
        <v>1119.6285714285716</v>
      </c>
      <c r="R537" s="286">
        <f>IF(O537&gt;0,0,IF(OR(AD537&gt;AE537,AF537&lt;AG537),0,IF(AND(AF537&gt;=AG537,AF537&lt;=AE537),Q537*((AF537-AG537)*12),IF(AND(AG537&lt;=AD537,AE537&gt;=AD537),((AE537-AD537)*12)*Q537,IF(AF537&gt;AE537,12*Q537,0)))))</f>
        <v>0</v>
      </c>
      <c r="S537" s="286"/>
      <c r="T537" s="286">
        <f>IF(S537&gt;0,S537,R537)</f>
        <v>0</v>
      </c>
      <c r="U537" s="286">
        <v>1</v>
      </c>
      <c r="V537" s="286">
        <f>U537*SUM(R537:S537)</f>
        <v>0</v>
      </c>
      <c r="W537" s="286"/>
      <c r="X537" s="286">
        <f>IF(AD537&gt;AE537,0,IF(AF537&lt;AG537,P537,IF(AND(AF537&gt;=AG537,AF537&lt;=AE537),(P537-T537),IF(AND(AG537&lt;=AD537,AE537&gt;=AD537),0,IF(AF537&gt;AE537,((AG537-AD537)*12)*Q537,0)))))</f>
        <v>94048.8</v>
      </c>
      <c r="Y537" s="286">
        <f>X537*U537</f>
        <v>94048.8</v>
      </c>
      <c r="Z537" s="286">
        <v>1</v>
      </c>
      <c r="AA537" s="286">
        <f>Y537*Z537</f>
        <v>94048.8</v>
      </c>
      <c r="AB537" s="286">
        <f>IF(O537&gt;0,0,AA537+V537*Z537)*Z537</f>
        <v>94048.8</v>
      </c>
      <c r="AC537" s="286">
        <f>IF(O537&gt;0,(N537-AA537)/2,IF(AD537&gt;=AG537,(((N537*U537)*Z537)-AB537)/2,((((N537*U537)*Z537)-AA537)+(((N537*U537)*Z537)-AB537))/2))</f>
        <v>23512.199999999997</v>
      </c>
      <c r="AD537" s="286">
        <f>$E537+(($F537-1)/12)</f>
        <v>2006.3333333333333</v>
      </c>
      <c r="AE537" s="286">
        <f>($P$5+1)-($P$2/12)</f>
        <v>2018</v>
      </c>
      <c r="AF537" s="286">
        <f>$K537+(($F537-1)/12)</f>
        <v>2013.3333333333333</v>
      </c>
      <c r="AG537" s="286">
        <f>$P$4+($P$3/12)</f>
        <v>2017</v>
      </c>
      <c r="AH537" s="286">
        <f>$L537+(($M537-1)/12)</f>
        <v>-8.3333333333333329E-2</v>
      </c>
    </row>
    <row r="538" spans="2:34">
      <c r="D538" s="311"/>
      <c r="M538" s="317"/>
      <c r="N538" s="330"/>
      <c r="O538" s="317"/>
      <c r="P538" s="317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  <c r="AA538" s="317"/>
      <c r="AB538" s="317"/>
      <c r="AC538" s="317"/>
    </row>
    <row r="539" spans="2:34">
      <c r="D539" s="311"/>
      <c r="M539" s="317"/>
      <c r="N539" s="330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</row>
    <row r="540" spans="2:34">
      <c r="D540" s="341" t="s">
        <v>430</v>
      </c>
      <c r="M540" s="360"/>
      <c r="N540" s="333"/>
      <c r="O540" s="360"/>
      <c r="P540" s="360"/>
      <c r="Q540" s="360"/>
      <c r="R540" s="360"/>
      <c r="S540" s="361"/>
    </row>
    <row r="541" spans="2:34">
      <c r="B541" s="284" t="s">
        <v>99</v>
      </c>
      <c r="C541" s="282">
        <v>32</v>
      </c>
      <c r="D541" s="306" t="s">
        <v>101</v>
      </c>
      <c r="E541" s="282">
        <v>2009</v>
      </c>
      <c r="F541" s="284">
        <v>12</v>
      </c>
      <c r="G541" s="307">
        <v>0.2</v>
      </c>
      <c r="H541" s="286"/>
      <c r="I541" s="308" t="s">
        <v>86</v>
      </c>
      <c r="J541" s="284">
        <v>7</v>
      </c>
      <c r="K541" s="309">
        <f>E541+J541</f>
        <v>2016</v>
      </c>
      <c r="N541" s="285">
        <v>143203.54999999999</v>
      </c>
      <c r="O541" s="310"/>
      <c r="P541" s="286">
        <f>N541-N541*G541</f>
        <v>114562.84</v>
      </c>
      <c r="Q541" s="286">
        <f>P541/J541/12</f>
        <v>1363.8433333333332</v>
      </c>
      <c r="R541" s="286">
        <f>IF(O541&gt;0,0,IF(OR(AD541&gt;AE541,AF541&lt;AG541),0,IF(AND(AF541&gt;=AG541,AF541&lt;=AE541),Q541*((AF541-AG541)*12),IF(AND(AG541&lt;=AD541,AE541&gt;=AD541),((AE541-AD541)*12)*Q541,IF(AF541&gt;AE541,12*Q541,0)))))</f>
        <v>0</v>
      </c>
      <c r="S541" s="286"/>
      <c r="T541" s="286">
        <f>IF(S541&gt;0,S541,R541)</f>
        <v>0</v>
      </c>
      <c r="U541" s="286">
        <v>1</v>
      </c>
      <c r="V541" s="286">
        <f>U541*SUM(R541:S541)</f>
        <v>0</v>
      </c>
      <c r="W541" s="286"/>
      <c r="X541" s="286">
        <f>IF(AD541&gt;AE541,0,IF(AF541&lt;AG541,P541,IF(AND(AF541&gt;=AG541,AF541&lt;=AE541),(P541-T541),IF(AND(AG541&lt;=AD541,AE541&gt;=AD541),0,IF(AF541&gt;AE541,((AG541-AD541)*12)*Q541,0)))))</f>
        <v>114562.84</v>
      </c>
      <c r="Y541" s="286">
        <f>X541*U541</f>
        <v>114562.84</v>
      </c>
      <c r="Z541" s="286">
        <v>1</v>
      </c>
      <c r="AA541" s="286">
        <f>Y541*Z541</f>
        <v>114562.84</v>
      </c>
      <c r="AB541" s="286">
        <f>IF(O541&gt;0,0,AA541+V541*Z541)*Z541</f>
        <v>114562.84</v>
      </c>
      <c r="AC541" s="286">
        <f>IF(O541&gt;0,(N541-AA541)/2,IF(AD541&gt;=AG541,(((N541*U541)*Z541)-AB541)/2,((((N541*U541)*Z541)-AA541)+(((N541*U541)*Z541)-AB541))/2))</f>
        <v>28640.709999999992</v>
      </c>
      <c r="AD541" s="286">
        <f>$E541+(($F541-1)/12)</f>
        <v>2009.9166666666667</v>
      </c>
      <c r="AE541" s="286">
        <f t="shared" si="12"/>
        <v>2018</v>
      </c>
      <c r="AF541" s="286">
        <f>$K541+(($F541-1)/12)</f>
        <v>2016.9166666666667</v>
      </c>
      <c r="AG541" s="286">
        <f t="shared" si="14"/>
        <v>2017</v>
      </c>
      <c r="AH541" s="286">
        <f>$L541+(($M541-1)/12)</f>
        <v>-8.3333333333333329E-2</v>
      </c>
    </row>
    <row r="543" spans="2:34">
      <c r="B543" s="284"/>
      <c r="D543" s="306"/>
      <c r="G543" s="307"/>
      <c r="H543" s="286"/>
      <c r="I543" s="308"/>
      <c r="K543" s="309"/>
      <c r="N543" s="2"/>
      <c r="O543" s="310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  <c r="AA543" s="286"/>
      <c r="AB543" s="286"/>
      <c r="AC543" s="286"/>
      <c r="AD543" s="286"/>
      <c r="AE543" s="286"/>
      <c r="AF543" s="286"/>
      <c r="AG543" s="286"/>
      <c r="AH543" s="286"/>
    </row>
    <row r="544" spans="2:34">
      <c r="B544" s="284"/>
      <c r="D544" s="306"/>
      <c r="G544" s="307"/>
      <c r="H544" s="286"/>
      <c r="I544" s="308"/>
      <c r="K544" s="309"/>
      <c r="N544" s="2"/>
      <c r="O544" s="310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  <c r="AA544" s="286"/>
      <c r="AB544" s="286"/>
      <c r="AC544" s="286"/>
      <c r="AD544" s="286"/>
      <c r="AE544" s="286"/>
      <c r="AF544" s="286"/>
      <c r="AG544" s="286"/>
      <c r="AH544" s="286"/>
    </row>
    <row r="545" spans="2:34">
      <c r="B545" s="284"/>
      <c r="D545" s="318"/>
      <c r="G545" s="307"/>
      <c r="H545" s="286"/>
      <c r="I545" s="308"/>
      <c r="K545" s="309"/>
      <c r="O545" s="310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  <c r="AA545" s="286"/>
      <c r="AB545" s="286"/>
      <c r="AC545" s="286"/>
      <c r="AD545" s="286"/>
      <c r="AE545" s="286"/>
      <c r="AF545" s="286"/>
      <c r="AG545" s="286"/>
      <c r="AH545" s="286"/>
    </row>
    <row r="546" spans="2:34">
      <c r="B546" s="284"/>
      <c r="D546" s="306"/>
      <c r="G546" s="307"/>
      <c r="H546" s="286"/>
      <c r="I546" s="308"/>
      <c r="K546" s="309"/>
      <c r="O546" s="310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  <c r="AA546" s="286"/>
      <c r="AB546" s="286"/>
      <c r="AC546" s="286"/>
      <c r="AD546" s="286"/>
      <c r="AE546" s="286"/>
      <c r="AF546" s="286"/>
      <c r="AG546" s="286"/>
      <c r="AH546" s="286"/>
    </row>
    <row r="547" spans="2:34">
      <c r="B547" s="284"/>
      <c r="G547" s="307"/>
      <c r="H547" s="286"/>
      <c r="I547" s="308"/>
      <c r="K547" s="309"/>
      <c r="O547" s="310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  <c r="AA547" s="286"/>
      <c r="AB547" s="286"/>
      <c r="AC547" s="286"/>
      <c r="AD547" s="286"/>
      <c r="AE547" s="286"/>
      <c r="AF547" s="286"/>
      <c r="AG547" s="286"/>
      <c r="AH547" s="286"/>
    </row>
    <row r="548" spans="2:34">
      <c r="B548" s="284"/>
      <c r="G548" s="307"/>
      <c r="H548" s="286"/>
      <c r="I548" s="308"/>
      <c r="K548" s="309"/>
      <c r="O548" s="310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  <c r="AA548" s="286"/>
      <c r="AB548" s="286"/>
      <c r="AC548" s="286"/>
      <c r="AD548" s="286"/>
      <c r="AE548" s="286"/>
      <c r="AF548" s="286"/>
      <c r="AG548" s="286"/>
      <c r="AH548" s="286"/>
    </row>
    <row r="549" spans="2:34">
      <c r="B549" s="284"/>
      <c r="D549" s="318"/>
      <c r="G549" s="307"/>
      <c r="H549" s="286"/>
      <c r="I549" s="308"/>
      <c r="K549" s="309"/>
      <c r="O549" s="310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</row>
    <row r="550" spans="2:34">
      <c r="B550" s="284"/>
      <c r="D550" s="318"/>
      <c r="G550" s="307"/>
      <c r="H550" s="286"/>
      <c r="I550" s="308"/>
      <c r="K550" s="309"/>
      <c r="O550" s="310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</row>
    <row r="551" spans="2:34">
      <c r="B551" s="284"/>
      <c r="G551" s="307"/>
      <c r="H551" s="286"/>
      <c r="I551" s="308"/>
      <c r="K551" s="309"/>
      <c r="O551" s="310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</row>
    <row r="552" spans="2:34">
      <c r="B552" s="284"/>
      <c r="G552" s="307"/>
      <c r="H552" s="286"/>
      <c r="I552" s="308"/>
      <c r="K552" s="309"/>
      <c r="O552" s="310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</row>
    <row r="553" spans="2:34">
      <c r="B553" s="284"/>
      <c r="D553" s="318"/>
      <c r="G553" s="307"/>
      <c r="H553" s="286"/>
      <c r="I553" s="308"/>
      <c r="K553" s="309"/>
      <c r="O553" s="310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  <c r="AA553" s="286"/>
      <c r="AB553" s="286"/>
      <c r="AC553" s="286"/>
      <c r="AD553" s="286"/>
      <c r="AE553" s="286"/>
      <c r="AF553" s="286"/>
      <c r="AG553" s="286"/>
      <c r="AH553" s="286"/>
    </row>
    <row r="554" spans="2:34">
      <c r="B554" s="284"/>
      <c r="D554" s="306"/>
      <c r="G554" s="307"/>
      <c r="H554" s="286"/>
      <c r="I554" s="308"/>
      <c r="K554" s="309"/>
      <c r="O554" s="310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  <c r="AA554" s="286"/>
      <c r="AB554" s="286"/>
      <c r="AC554" s="286"/>
      <c r="AD554" s="286"/>
      <c r="AE554" s="286"/>
      <c r="AF554" s="286"/>
      <c r="AG554" s="286"/>
      <c r="AH554" s="286"/>
    </row>
    <row r="555" spans="2:34">
      <c r="B555" s="284"/>
      <c r="D555" s="318"/>
      <c r="G555" s="307"/>
      <c r="H555" s="286"/>
      <c r="I555" s="308"/>
      <c r="K555" s="309"/>
      <c r="O555" s="310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  <c r="AA555" s="286"/>
      <c r="AB555" s="286"/>
      <c r="AC555" s="286"/>
      <c r="AD555" s="286"/>
      <c r="AE555" s="286"/>
      <c r="AF555" s="286"/>
      <c r="AG555" s="286"/>
      <c r="AH555" s="286"/>
    </row>
    <row r="556" spans="2:34">
      <c r="B556" s="284"/>
      <c r="D556" s="306"/>
      <c r="G556" s="307"/>
      <c r="H556" s="286"/>
      <c r="I556" s="308"/>
      <c r="K556" s="309"/>
      <c r="O556" s="310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  <c r="AA556" s="286"/>
      <c r="AB556" s="286"/>
      <c r="AC556" s="286"/>
      <c r="AD556" s="286"/>
      <c r="AE556" s="286"/>
      <c r="AF556" s="286"/>
      <c r="AG556" s="286"/>
      <c r="AH556" s="286"/>
    </row>
    <row r="557" spans="2:34">
      <c r="B557" s="284"/>
      <c r="D557" s="306"/>
      <c r="G557" s="307"/>
      <c r="H557" s="286"/>
      <c r="I557" s="308"/>
      <c r="K557" s="309"/>
      <c r="N557" s="2"/>
      <c r="O557" s="310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  <c r="AA557" s="286"/>
      <c r="AB557" s="286"/>
      <c r="AC557" s="286"/>
      <c r="AD557" s="286"/>
      <c r="AE557" s="286"/>
      <c r="AF557" s="286"/>
      <c r="AG557" s="286"/>
      <c r="AH557" s="286"/>
    </row>
    <row r="558" spans="2:34">
      <c r="B558" s="284"/>
      <c r="D558" s="306"/>
      <c r="G558" s="307"/>
      <c r="H558" s="286"/>
      <c r="I558" s="308"/>
      <c r="K558" s="309"/>
      <c r="O558" s="310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  <c r="AA558" s="286"/>
      <c r="AB558" s="286"/>
      <c r="AC558" s="286"/>
      <c r="AD558" s="286"/>
      <c r="AE558" s="286"/>
      <c r="AF558" s="286"/>
      <c r="AG558" s="286"/>
      <c r="AH558" s="286"/>
    </row>
    <row r="559" spans="2:34">
      <c r="B559" s="284"/>
      <c r="D559" s="306"/>
      <c r="G559" s="307"/>
      <c r="H559" s="286"/>
      <c r="I559" s="308"/>
      <c r="K559" s="309"/>
      <c r="O559" s="310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  <c r="AA559" s="286"/>
      <c r="AB559" s="286"/>
      <c r="AC559" s="286"/>
      <c r="AD559" s="286"/>
      <c r="AE559" s="286"/>
      <c r="AF559" s="286"/>
      <c r="AG559" s="286"/>
      <c r="AH559" s="286"/>
    </row>
    <row r="560" spans="2:34">
      <c r="B560" s="284"/>
      <c r="D560" s="306"/>
      <c r="G560" s="307"/>
      <c r="H560" s="286"/>
      <c r="I560" s="308"/>
      <c r="K560" s="309"/>
      <c r="O560" s="310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  <c r="AA560" s="286"/>
      <c r="AB560" s="286"/>
      <c r="AC560" s="286"/>
      <c r="AD560" s="286"/>
      <c r="AE560" s="286"/>
      <c r="AF560" s="286"/>
      <c r="AG560" s="286"/>
      <c r="AH560" s="286"/>
    </row>
    <row r="561" spans="2:34">
      <c r="B561" s="284"/>
      <c r="D561" s="306"/>
      <c r="G561" s="307"/>
      <c r="H561" s="286"/>
      <c r="I561" s="308"/>
      <c r="K561" s="309"/>
      <c r="O561" s="310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  <c r="AA561" s="286"/>
      <c r="AB561" s="286"/>
      <c r="AC561" s="286"/>
      <c r="AD561" s="286"/>
      <c r="AE561" s="286"/>
      <c r="AF561" s="286"/>
      <c r="AG561" s="286"/>
      <c r="AH561" s="286"/>
    </row>
    <row r="562" spans="2:34">
      <c r="B562" s="284"/>
      <c r="D562" s="306"/>
      <c r="G562" s="307"/>
      <c r="H562" s="286"/>
      <c r="I562" s="308"/>
      <c r="K562" s="309"/>
      <c r="O562" s="310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  <c r="AA562" s="286"/>
      <c r="AB562" s="286"/>
      <c r="AC562" s="286"/>
      <c r="AD562" s="286"/>
      <c r="AE562" s="286"/>
      <c r="AF562" s="286"/>
      <c r="AG562" s="286"/>
      <c r="AH562" s="286"/>
    </row>
    <row r="563" spans="2:34">
      <c r="B563" s="284"/>
      <c r="D563" s="306"/>
      <c r="G563" s="307"/>
      <c r="H563" s="286"/>
      <c r="I563" s="308"/>
      <c r="K563" s="309"/>
      <c r="O563" s="310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  <c r="AA563" s="286"/>
      <c r="AB563" s="286"/>
      <c r="AC563" s="286"/>
      <c r="AD563" s="286"/>
      <c r="AE563" s="286"/>
      <c r="AF563" s="286"/>
      <c r="AG563" s="286"/>
      <c r="AH563" s="286"/>
    </row>
    <row r="564" spans="2:34">
      <c r="B564" s="284"/>
      <c r="D564" s="306"/>
      <c r="G564" s="307"/>
      <c r="H564" s="286"/>
      <c r="I564" s="308"/>
      <c r="K564" s="309"/>
      <c r="N564" s="321"/>
      <c r="O564" s="310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  <c r="AA564" s="286"/>
      <c r="AB564" s="286"/>
      <c r="AC564" s="286"/>
      <c r="AD564" s="286"/>
      <c r="AE564" s="286"/>
      <c r="AF564" s="286"/>
      <c r="AG564" s="286"/>
      <c r="AH564" s="286"/>
    </row>
    <row r="565" spans="2:34">
      <c r="B565" s="284"/>
      <c r="D565" s="306"/>
      <c r="G565" s="307"/>
      <c r="H565" s="286"/>
      <c r="I565" s="308"/>
      <c r="K565" s="309"/>
      <c r="N565" s="321"/>
      <c r="O565" s="310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  <c r="AA565" s="286"/>
      <c r="AB565" s="286"/>
      <c r="AC565" s="286"/>
      <c r="AD565" s="286"/>
      <c r="AE565" s="286"/>
      <c r="AF565" s="286"/>
      <c r="AG565" s="286"/>
      <c r="AH565" s="286"/>
    </row>
    <row r="566" spans="2:34">
      <c r="B566" s="284"/>
      <c r="D566" s="306"/>
      <c r="G566" s="307"/>
      <c r="H566" s="286"/>
      <c r="I566" s="308"/>
      <c r="K566" s="309"/>
      <c r="O566" s="310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  <c r="AA566" s="286"/>
      <c r="AB566" s="286"/>
      <c r="AC566" s="286"/>
      <c r="AD566" s="286"/>
      <c r="AE566" s="286"/>
      <c r="AF566" s="286"/>
      <c r="AG566" s="286"/>
      <c r="AH566" s="286"/>
    </row>
    <row r="567" spans="2:34">
      <c r="B567" s="284"/>
      <c r="D567" s="306"/>
      <c r="G567" s="307"/>
      <c r="H567" s="286"/>
      <c r="I567" s="308"/>
      <c r="K567" s="309"/>
      <c r="O567" s="310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  <c r="AA567" s="286"/>
      <c r="AB567" s="286"/>
      <c r="AC567" s="286"/>
      <c r="AD567" s="286"/>
      <c r="AE567" s="286"/>
      <c r="AF567" s="286"/>
      <c r="AG567" s="286"/>
      <c r="AH567" s="286"/>
    </row>
    <row r="568" spans="2:34">
      <c r="B568" s="284"/>
      <c r="D568" s="318"/>
      <c r="G568" s="307"/>
      <c r="H568" s="286"/>
      <c r="I568" s="308"/>
      <c r="K568" s="309"/>
      <c r="O568" s="310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  <c r="AA568" s="286"/>
      <c r="AB568" s="286"/>
      <c r="AC568" s="286"/>
      <c r="AD568" s="286"/>
      <c r="AE568" s="286"/>
      <c r="AF568" s="286"/>
      <c r="AG568" s="286"/>
      <c r="AH568" s="286"/>
    </row>
    <row r="569" spans="2:34"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62"/>
      <c r="AA569" s="362"/>
      <c r="AB569" s="362"/>
      <c r="AC569" s="362"/>
    </row>
  </sheetData>
  <mergeCells count="1">
    <mergeCell ref="AJ5:AR6"/>
  </mergeCells>
  <pageMargins left="0.5" right="0.5" top="0.5" bottom="0.55000000000000004" header="0.5" footer="0.5"/>
  <pageSetup scale="65" orientation="landscape" r:id="rId1"/>
  <headerFooter alignWithMargins="0"/>
  <rowBreaks count="5" manualBreakCount="5">
    <brk id="120" min="1" max="28" man="1"/>
    <brk id="172" min="1" max="28" man="1"/>
    <brk id="230" min="1" max="28" man="1"/>
    <brk id="339" min="1" max="28" man="1"/>
    <brk id="446" min="1" max="28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1</xdr:col>
                <xdr:colOff>104775</xdr:colOff>
                <xdr:row>7</xdr:row>
                <xdr:rowOff>0</xdr:rowOff>
              </from>
              <to>
                <xdr:col>1</xdr:col>
                <xdr:colOff>180975</xdr:colOff>
                <xdr:row>7</xdr:row>
                <xdr:rowOff>76200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0FA0487E3B7446B959A2F58AB80638" ma:contentTypeVersion="16" ma:contentTypeDescription="" ma:contentTypeScope="" ma:versionID="32b7b86979b7a5a542a0d6380dfc59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Nickname xmlns="http://schemas.microsoft.com/sharepoint/v3" xsi:nil="true"/>
    <DocketNumber xmlns="dc463f71-b30c-4ab2-9473-d307f9d35888">240484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ACFC87-F354-4988-A9C9-FFFA4DA1585B}"/>
</file>

<file path=customXml/itemProps2.xml><?xml version="1.0" encoding="utf-8"?>
<ds:datastoreItem xmlns:ds="http://schemas.openxmlformats.org/officeDocument/2006/customXml" ds:itemID="{3EFB5A9A-839B-468E-A47F-77088C7D3ABA}"/>
</file>

<file path=customXml/itemProps3.xml><?xml version="1.0" encoding="utf-8"?>
<ds:datastoreItem xmlns:ds="http://schemas.openxmlformats.org/officeDocument/2006/customXml" ds:itemID="{EF00A3BE-6119-49F1-BF23-2E2FDE97FD47}"/>
</file>

<file path=customXml/itemProps4.xml><?xml version="1.0" encoding="utf-8"?>
<ds:datastoreItem xmlns:ds="http://schemas.openxmlformats.org/officeDocument/2006/customXml" ds:itemID="{F6C400F6-390A-43D7-9670-80E1A263A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Depr Summary</vt:lpstr>
      <vt:lpstr>FAR Dep Summary</vt:lpstr>
      <vt:lpstr>FAR 4.2024</vt:lpstr>
      <vt:lpstr>Additional Depreciation</vt:lpstr>
      <vt:lpstr>Depreciation</vt:lpstr>
      <vt:lpstr>24_BudgetedCapital</vt:lpstr>
      <vt:lpstr>Depreciation - Orig.</vt:lpstr>
      <vt:lpstr>Depreciation!Print_Area</vt:lpstr>
      <vt:lpstr>'Depreciation - Orig.'!Print_Area</vt:lpstr>
      <vt:lpstr>Depreciation!Print_Area_MI</vt:lpstr>
      <vt:lpstr>'Depreciation - Orig.'!Print_Area_MI</vt:lpstr>
      <vt:lpstr>Depreciation!Print_Titles</vt:lpstr>
      <vt:lpstr>'Depreciation - Orig.'!Print_Titles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Adam Green</cp:lastModifiedBy>
  <cp:lastPrinted>2024-06-13T22:47:35Z</cp:lastPrinted>
  <dcterms:created xsi:type="dcterms:W3CDTF">2013-04-10T23:02:45Z</dcterms:created>
  <dcterms:modified xsi:type="dcterms:W3CDTF">2024-06-13T22:48:05Z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0x0101006E56B4D1795A2E4DB2F0B01679ED314A00880FA0487E3B7446B959A2F58AB80638</vt:lpwstr>
  </property>
  <property fmtid="{D5CDD505-2E9C-101B-9397-08002B2CF9AE}" pid="3" name="_docset_NoMedatataSyncRequired">
    <vt:lpwstr>False</vt:lpwstr>
  </property>
</Properties>
</file>