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Clark County 2009\Dump Fee\DF 1-1-24\Revised Pages Item 240-1\"/>
    </mc:Choice>
  </mc:AlternateContent>
  <xr:revisionPtr revIDLastSave="0" documentId="13_ncr:1_{B0716877-E91C-4C22-80BD-BBB618B5E95B}" xr6:coauthVersionLast="47" xr6:coauthVersionMax="47" xr10:uidLastSave="{00000000-0000-0000-0000-000000000000}"/>
  <bookViews>
    <workbookView xWindow="-28920" yWindow="-1425" windowWidth="29040" windowHeight="15840" activeTab="2" xr2:uid="{00000000-000D-0000-FFFF-FFFF00000000}"/>
  </bookViews>
  <sheets>
    <sheet name="References" sheetId="1" r:id="rId1"/>
    <sheet name="Regulated DF Calc" sheetId="2" r:id="rId2"/>
    <sheet name="Proposed Rates" sheetId="3" r:id="rId3"/>
    <sheet name="Disposal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#REF!</definedName>
    <definedName name="\S">#REF!</definedName>
    <definedName name="\Y">#REF!</definedName>
    <definedName name="______________CYA1">[1]Hidden!$N$11</definedName>
    <definedName name="______________CYA10">[1]Hidden!$E$11</definedName>
    <definedName name="______________CYA11">[1]Hidden!$P$11</definedName>
    <definedName name="______________CYA2">[1]Hidden!$M$11</definedName>
    <definedName name="______________CYA3">[1]Hidden!$L$11</definedName>
    <definedName name="______________CYA4">[1]Hidden!$K$11</definedName>
    <definedName name="______________CYA5">[1]Hidden!$J$11</definedName>
    <definedName name="______________CYA6">[1]Hidden!$I$11</definedName>
    <definedName name="______________CYA7">[1]Hidden!$H$11</definedName>
    <definedName name="______________CYA8">[1]Hidden!$G$11</definedName>
    <definedName name="______________CYA9">[1]Hidden!$F$11</definedName>
    <definedName name="______________LYA12">[1]Hidden!$O$11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">[2]Hidden!$P$11</definedName>
    <definedName name="__LYA10">[2]Hidden!$G$11</definedName>
    <definedName name="__LYA11">[2]Hidden!$F$11</definedName>
    <definedName name="__LYA12">[1]Hidden!$O$11</definedName>
    <definedName name="__LYA2">[2]Hidden!$O$11</definedName>
    <definedName name="__LYA3">[2]Hidden!$N$11</definedName>
    <definedName name="__LYA4">[2]Hidden!$M$11</definedName>
    <definedName name="__LYA5">[2]Hidden!$L$11</definedName>
    <definedName name="__LYA6">[2]Hidden!$K$11</definedName>
    <definedName name="__LYA7">[2]Hidden!$J$11</definedName>
    <definedName name="__LYA8">[2]Hidden!$I$11</definedName>
    <definedName name="__LYA9">[2]Hidden!$H$11</definedName>
    <definedName name="_123Graph_g" hidden="1">'[3]#REF'!$F$9:$F$83</definedName>
    <definedName name="_132" hidden="1">[4]XXXXXX!$B$10:$B$10</definedName>
    <definedName name="_132Graph_h" localSheetId="2" hidden="1">#REF!</definedName>
    <definedName name="_132Graph_h" hidden="1">#REF!</definedName>
    <definedName name="_ACT1" localSheetId="2">[5]Hidden!#REF!</definedName>
    <definedName name="_ACT1">[6]Hidden!#REF!</definedName>
    <definedName name="_ACT2" localSheetId="2">[5]Hidden!#REF!</definedName>
    <definedName name="_ACT2">[6]Hidden!#REF!</definedName>
    <definedName name="_ACT3" localSheetId="2">[5]Hidden!#REF!</definedName>
    <definedName name="_ACT3">[6]Hidden!#REF!</definedName>
    <definedName name="_COS1" localSheetId="2">#REF!</definedName>
    <definedName name="_COS1">#REF!</definedName>
    <definedName name="_COS2" localSheetId="2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hidden="1">'[3]#REF'!$D$12</definedName>
    <definedName name="_key5" hidden="1">[4]XXXXXX!$H$10</definedName>
    <definedName name="_LYA1">[2]Hidden!$P$11</definedName>
    <definedName name="_LYA10">[2]Hidden!$G$11</definedName>
    <definedName name="_LYA11">[2]Hidden!$F$11</definedName>
    <definedName name="_LYA12">[1]Hidden!$O$11</definedName>
    <definedName name="_LYA2">[2]Hidden!$O$11</definedName>
    <definedName name="_LYA3">[2]Hidden!$N$11</definedName>
    <definedName name="_LYA4">[2]Hidden!$M$11</definedName>
    <definedName name="_LYA5">[2]Hidden!$L$11</definedName>
    <definedName name="_LYA6">[2]Hidden!$K$11</definedName>
    <definedName name="_LYA7">[2]Hidden!$J$11</definedName>
    <definedName name="_LYA8">[2]Hidden!$I$11</definedName>
    <definedName name="_LYA9">[2]Hidden!$H$11</definedName>
    <definedName name="_max" localSheetId="2" hidden="1">#REF!</definedName>
    <definedName name="_max" hidden="1">#REF!</definedName>
    <definedName name="_Mon" localSheetId="2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2" hidden="1">#REF!</definedName>
    <definedName name="_Sort" hidden="1">#REF!</definedName>
    <definedName name="_Sort1" hidden="1">'[3]#REF'!$A$10:$Z$281</definedName>
    <definedName name="_sort3" hidden="1">[4]XXXXXX!$G$10:$J$11</definedName>
    <definedName name="Accounts">#REF!</definedName>
    <definedName name="ACCT" localSheetId="3">[1]Hidden!$D$11</definedName>
    <definedName name="ACCT" localSheetId="2">[5]Hidden!#REF!</definedName>
    <definedName name="ACCT">[6]Hidden!#REF!</definedName>
    <definedName name="ACCT.ConsolSum">[1]Hidden!$Q$11</definedName>
    <definedName name="ACT_CUR" localSheetId="2">[5]Hidden!#REF!</definedName>
    <definedName name="ACT_CUR">[6]Hidden!#REF!</definedName>
    <definedName name="ACT_YTD" localSheetId="2">[5]Hidden!#REF!</definedName>
    <definedName name="ACT_YTD">[6]Hidden!#REF!</definedName>
    <definedName name="AmountCount" localSheetId="2">#REF!</definedName>
    <definedName name="AmountCount">#REF!</definedName>
    <definedName name="AmountCount1">#REF!</definedName>
    <definedName name="AmountFrom">#REF!</definedName>
    <definedName name="AmountTo">#REF!</definedName>
    <definedName name="AmountTotal" localSheetId="2">#REF!</definedName>
    <definedName name="AmountTotal">#REF!</definedName>
    <definedName name="AmountTotal1">#REF!</definedName>
    <definedName name="BookRev" localSheetId="2">'[7]Pacific Regulated - Price Out'!$F$50</definedName>
    <definedName name="BookRev">'[8]Pacific Regulated - Price Out'!$F$50</definedName>
    <definedName name="BookRev_com" localSheetId="2">'[7]Pacific Regulated - Price Out'!$F$214</definedName>
    <definedName name="BookRev_com">'[8]Pacific Regulated - Price Out'!$F$214</definedName>
    <definedName name="BookRev_mfr" localSheetId="2">'[7]Pacific Regulated - Price Out'!$F$222</definedName>
    <definedName name="BookRev_mfr">'[8]Pacific Regulated - Price Out'!$F$222</definedName>
    <definedName name="BookRev_ro" localSheetId="2">'[7]Pacific Regulated - Price Out'!$F$282</definedName>
    <definedName name="BookRev_ro">'[8]Pacific Regulated - Price Out'!$F$282</definedName>
    <definedName name="BookRev_rr" localSheetId="2">'[7]Pacific Regulated - Price Out'!$F$59</definedName>
    <definedName name="BookRev_rr">'[8]Pacific Regulated - Price Out'!$F$59</definedName>
    <definedName name="BookRev_yw" localSheetId="2">'[7]Pacific Regulated - Price Out'!$F$70</definedName>
    <definedName name="BookRev_yw">'[8]Pacific Regulated - Price Out'!$F$70</definedName>
    <definedName name="BREMAIR_COST_of_SERVICE_STUDY" localSheetId="2">#REF!</definedName>
    <definedName name="BREMAIR_COST_of_SERVICE_STUDY">#REF!</definedName>
    <definedName name="BUD_CUR" localSheetId="2">[5]Hidden!#REF!</definedName>
    <definedName name="BUD_CUR">[6]Hidden!#REF!</definedName>
    <definedName name="BUD_YTD" localSheetId="2">[5]Hidden!#REF!</definedName>
    <definedName name="BUD_YTD">[6]Hidden!#REF!</definedName>
    <definedName name="CalRecyTons" localSheetId="2">'[9]Recycl Tons, Commodity Value'!$L$23</definedName>
    <definedName name="CalRecyTons">'[10]Recycl Tons, Commodity Value'!$L$23</definedName>
    <definedName name="CanCartTons">[11]CanCartTonsAllocate!$E$3</definedName>
    <definedName name="CheckTotals" localSheetId="2">#REF!</definedName>
    <definedName name="CheckTotals">#REF!</definedName>
    <definedName name="CoCanTons">[12]Cust_Count1!$M$28</definedName>
    <definedName name="CoComYd">'[12]Gross Yardage Worksheet'!$L$16</definedName>
    <definedName name="colgroup">[1]Orientation!$G$6</definedName>
    <definedName name="colsegment">[1]Orientation!$F$6</definedName>
    <definedName name="CommlStaffPriceOut" localSheetId="2">'[13]Price Out-Reg EASTSIDE-Resi'!#REF!</definedName>
    <definedName name="CommlStaffPriceOut">'[13]Price Out-Reg EASTSIDE-Resi'!#REF!</definedName>
    <definedName name="CoMultiYd">'[12]Gross Yardage Worksheet'!$L$31</definedName>
    <definedName name="ContainerTons">[11]ContainerTonsAllocation!$E$2</definedName>
    <definedName name="CRCTable" localSheetId="2">#REF!</definedName>
    <definedName name="CRCTable">#REF!</definedName>
    <definedName name="CRCTableOLD" localSheetId="2">#REF!</definedName>
    <definedName name="CRCTableOLD">#REF!</definedName>
    <definedName name="CriteriaType">[14]ControlPanel!$Z$2:$Z$5</definedName>
    <definedName name="CtyCanTons">[12]Cust_Count1!$N$28</definedName>
    <definedName name="CtyComYd">'[12]Gross Yardage Worksheet'!$L$49</definedName>
    <definedName name="CtyMultiYd">'[12]Gross Yardage Worksheet'!$L$64</definedName>
    <definedName name="CurrentMonth">'[15]38000 Other Rev'!$H$8</definedName>
    <definedName name="Cutomers" localSheetId="2">#REF!</definedName>
    <definedName name="Cutomers">#REF!</definedName>
    <definedName name="_xlnm.Database" localSheetId="3">#REF!</definedName>
    <definedName name="_xlnm.Database" localSheetId="2">#REF!</definedName>
    <definedName name="_xlnm.Database">#REF!</definedName>
    <definedName name="Database1" localSheetId="2">#REF!</definedName>
    <definedName name="Database1">#REF!</definedName>
    <definedName name="DateFrom" localSheetId="3">'[16]41201 JE Query'!$I$12</definedName>
    <definedName name="DateFrom">'[15]38000 Other Rev'!$G$12</definedName>
    <definedName name="DateTo" localSheetId="3">'[16]41201 JE Query'!$I$13</definedName>
    <definedName name="DateTo">'[15]38000 Other Rev'!$G$13</definedName>
    <definedName name="DBxStaffPriceOut" localSheetId="2">'[13]Price Out-Reg EASTSIDE-Resi'!#REF!</definedName>
    <definedName name="DBxStaffPriceOut">'[13]Price Out-Reg EASTSIDE-Resi'!#REF!</definedName>
    <definedName name="DEPT" localSheetId="2">[5]Hidden!#REF!</definedName>
    <definedName name="DEPT">[6]Hidden!#REF!</definedName>
    <definedName name="Dist" localSheetId="2">[17]Data!$E$3</definedName>
    <definedName name="Dist">[18]Data!$E$3</definedName>
    <definedName name="District" localSheetId="2">'[19]Vashon BS'!#REF!</definedName>
    <definedName name="District">'[20]Vashon BS'!#REF!</definedName>
    <definedName name="DistrictNum" localSheetId="2">#REF!</definedName>
    <definedName name="DistrictNum">#REF!</definedName>
    <definedName name="Districts">#REF!</definedName>
    <definedName name="dOG" localSheetId="2">#REF!</definedName>
    <definedName name="dOG">#REF!</definedName>
    <definedName name="drlFilter">[1]Settings!$D$27</definedName>
    <definedName name="End" localSheetId="2">#REF!</definedName>
    <definedName name="End">#REF!</definedName>
    <definedName name="EntrieShownLimit" localSheetId="3">'[16]41201 JE Query'!$D$6</definedName>
    <definedName name="EntrieShownLimit">'[15]38000 Other Rev'!$D$6</definedName>
    <definedName name="ExcludeIC" localSheetId="2">'[21]2009 BS'!#REF!</definedName>
    <definedName name="ExcludeIC">'[20]Vashon BS'!#REF!</definedName>
    <definedName name="EXT" localSheetId="2">#REF!</definedName>
    <definedName name="EXT">#REF!</definedName>
    <definedName name="FBTable" localSheetId="2">#REF!</definedName>
    <definedName name="FBTable">#REF!</definedName>
    <definedName name="FBTableOld" localSheetId="2">#REF!</definedName>
    <definedName name="FBTableOld">#REF!</definedName>
    <definedName name="filter">[1]Settings!$B$14:$H$25</definedName>
    <definedName name="FromMonth">#REF!</definedName>
    <definedName name="FundsApprPend" localSheetId="2">[17]Data!#REF!</definedName>
    <definedName name="FundsApprPend">[18]Data!#REF!</definedName>
    <definedName name="FundsBudUnbud" localSheetId="2">[17]Data!#REF!</definedName>
    <definedName name="FundsBudUnbud">[18]Data!#REF!</definedName>
    <definedName name="GLMappingStart" localSheetId="2">#REF!</definedName>
    <definedName name="GLMappingStart">#REF!</definedName>
    <definedName name="GLMappingStart1">#REF!</definedName>
    <definedName name="GRETABLE">[22]Gresham!$E$12:$AI$261</definedName>
    <definedName name="Import_Range" localSheetId="2">[17]Data!#REF!</definedName>
    <definedName name="Import_Range">[18]Data!#REF!</definedName>
    <definedName name="IncomeStmnt" localSheetId="2">#REF!</definedName>
    <definedName name="IncomeStmnt">#REF!</definedName>
    <definedName name="INPUT" localSheetId="2">#REF!</definedName>
    <definedName name="INPUT">#REF!</definedName>
    <definedName name="Insurance" localSheetId="2">#REF!</definedName>
    <definedName name="Insurance">#REF!</definedName>
    <definedName name="Interject_LastPulledValues_BalanceRange" localSheetId="3">#REF!</definedName>
    <definedName name="Interject_LastPulledValues_BalanceRange">#REF!</definedName>
    <definedName name="Interject_LastPulledValues_DescriptionRange" localSheetId="3">#REF!</definedName>
    <definedName name="Interject_LastPulledValues_DescriptionRange">#REF!</definedName>
    <definedName name="Interject_LastPulledValues_LastChangeGUID" localSheetId="3">#REF!</definedName>
    <definedName name="Interject_LastPulledValues_LastChangeGUID">#REF!</definedName>
    <definedName name="Interject_LastPulledValues_PreviousLastChangeGUID" localSheetId="3">#REF!</definedName>
    <definedName name="Interject_LastPulledValues_PreviousLastChangeGUID">#REF!</definedName>
    <definedName name="Invoice_Start" localSheetId="2">[17]Invoice_Drill!#REF!</definedName>
    <definedName name="Invoice_Start">[18]Invoice_Drill!#REF!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2">#REF!</definedName>
    <definedName name="JEDetail">#REF!</definedName>
    <definedName name="JEDetail1">#REF!</definedName>
    <definedName name="JEType" localSheetId="2">#REF!</definedName>
    <definedName name="JEType">#REF!</definedName>
    <definedName name="JEType1">#REF!</definedName>
    <definedName name="Juris1CanCount">[11]Cust_Count1!$C$60</definedName>
    <definedName name="Juris1CanTons">[11]Cust_Count1!$C$30</definedName>
    <definedName name="Juris1ComYd">'[11]Gross Yardage Worksheet'!$L$16</definedName>
    <definedName name="Juris1CustCnt">[11]Cust_Count2!$E$39</definedName>
    <definedName name="Juris1MultiYd">'[11]Gross Yardage Worksheet'!$X$16</definedName>
    <definedName name="Juris1SeasonalYds">'[11]Gross Yardage Worksheet'!$R$18</definedName>
    <definedName name="Juris1XtraYds">[11]Cust_Count2!$E$28</definedName>
    <definedName name="Juris2CanCount">[11]Cust_Count1!$D$60</definedName>
    <definedName name="Juris2CanTons">[11]Cust_Count1!$D$30</definedName>
    <definedName name="Juris2ComYd">'[11]Gross Yardage Worksheet'!$L$33</definedName>
    <definedName name="Juris2CustCnt">[11]Cust_Count2!$F$39</definedName>
    <definedName name="Juris2MultiYd">'[11]Gross Yardage Worksheet'!$X$33</definedName>
    <definedName name="Juris2SeasonalYds">'[11]Gross Yardage Worksheet'!$R$35</definedName>
    <definedName name="Juris2XtraYds">[11]Cust_Count2!$F$28</definedName>
    <definedName name="Juris3CanCount">[11]Cust_Count1!$E$60</definedName>
    <definedName name="Juris3CanTons">[11]Cust_Count1!$E$30</definedName>
    <definedName name="Juris3ComYd">'[11]Gross Yardage Worksheet'!$L$51</definedName>
    <definedName name="Juris3CustCnt">[11]Cust_Count2!$G$39</definedName>
    <definedName name="Juris3MultiYd">'[11]Gross Yardage Worksheet'!$X$51</definedName>
    <definedName name="Juris3SeasonalYds">'[11]Gross Yardage Worksheet'!$R$53</definedName>
    <definedName name="Juris3XtraYds">[11]Cust_Count2!$G$28</definedName>
    <definedName name="Juris4CanCount">[11]Cust_Count1!$F$60</definedName>
    <definedName name="Juris4CanTons">[11]Cust_Count1!$F$30</definedName>
    <definedName name="Juris4ComYd">'[11]Gross Yardage Worksheet'!$L$68</definedName>
    <definedName name="Juris4CustCnt">[11]Cust_Count2!$H$39</definedName>
    <definedName name="Juris4MultiYd">'[11]Gross Yardage Worksheet'!$X$68</definedName>
    <definedName name="Juris4SeasonalYds">'[11]Gross Yardage Worksheet'!$R$70</definedName>
    <definedName name="Juris4XtraYds">[11]Cust_Count2!$H$28</definedName>
    <definedName name="Juris5CanCount">[11]Cust_Count1!$G$60</definedName>
    <definedName name="Juris5CanTons">[11]Cust_Count1!$G$30</definedName>
    <definedName name="Juris5ComYD">'[11]Gross Yardage Worksheet'!$L$85</definedName>
    <definedName name="Juris5CustCnt">[11]Cust_Count2!$I$39</definedName>
    <definedName name="Juris5MultiYd">'[11]Gross Yardage Worksheet'!$X$85</definedName>
    <definedName name="Juris5SeasonalYds">'[11]Gross Yardage Worksheet'!$R$87</definedName>
    <definedName name="Juris5XtraYds">[11]Cust_Count2!$I$28</definedName>
    <definedName name="Jurisdiction_1">'[11]Title Inputs'!$C$5</definedName>
    <definedName name="Jurisdiction_2">'[11]Title Inputs'!$C$6</definedName>
    <definedName name="Jurisdiction_3">'[11]Title Inputs'!$C$7</definedName>
    <definedName name="Jurisdiction_4">'[11]Title Inputs'!$C$8</definedName>
    <definedName name="Jurisdiction_5">'[11]Title Inputs'!$C$9</definedName>
    <definedName name="lblBillAreaStatus" localSheetId="2">#REF!</definedName>
    <definedName name="lblBillAreaStatus">#REF!</definedName>
    <definedName name="lblBillCycleStatus" localSheetId="2">#REF!</definedName>
    <definedName name="lblBillCycleStatus">#REF!</definedName>
    <definedName name="lblCategoryStatus" localSheetId="2">#REF!</definedName>
    <definedName name="lblCategoryStatus">#REF!</definedName>
    <definedName name="lblCompanyStatus" localSheetId="2">#REF!</definedName>
    <definedName name="lblCompanyStatus">#REF!</definedName>
    <definedName name="lblDatabaseStatus" localSheetId="2">#REF!</definedName>
    <definedName name="lblDatabaseStatus">#REF!</definedName>
    <definedName name="lblPullStatus" localSheetId="2">#REF!</definedName>
    <definedName name="lblPullStatus">#REF!</definedName>
    <definedName name="lllllllllllllllllllll" localSheetId="2">#REF!</definedName>
    <definedName name="lllllllllllllllllllll">#REF!</definedName>
    <definedName name="LOB">[23]DropDownRanges!$B$4:$B$37</definedName>
    <definedName name="MainDataEnd" localSheetId="2">#REF!</definedName>
    <definedName name="MainDataEnd">#REF!</definedName>
    <definedName name="MainDataStart" localSheetId="2">#REF!</definedName>
    <definedName name="MainDataStart">#REF!</definedName>
    <definedName name="MapKeyStart" localSheetId="2">#REF!</definedName>
    <definedName name="MapKeyStart">#REF!</definedName>
    <definedName name="master_def" localSheetId="2">#REF!</definedName>
    <definedName name="master_def">#REF!</definedName>
    <definedName name="MATRIX" localSheetId="2">#REF!</definedName>
    <definedName name="MATRIX">#REF!</definedName>
    <definedName name="MemoAttachment" localSheetId="2">#REF!</definedName>
    <definedName name="MemoAttachment">#REF!</definedName>
    <definedName name="MetaSet">[1]Orientation!$C$22</definedName>
    <definedName name="MFStaffPriceOut" localSheetId="2">'[13]Price Out-Reg EASTSIDE-Resi'!#REF!</definedName>
    <definedName name="MFStaffPriceOut">'[13]Price Out-Reg EASTSIDE-Resi'!#REF!</definedName>
    <definedName name="MILTON">#REF!</definedName>
    <definedName name="MonthList" localSheetId="2">'[17]Lookup Tables'!$A$1:$A$13</definedName>
    <definedName name="MonthList">'[18]Lookup Tables'!$A$1:$A$13</definedName>
    <definedName name="NewLob">[23]DropDownRanges!$B$4:$B$37</definedName>
    <definedName name="NewOnlyOrg">#N/A</definedName>
    <definedName name="NewSource">[23]DropDownRanges!$D$4:$D$7</definedName>
    <definedName name="nn" localSheetId="2">#REF!</definedName>
    <definedName name="nn">#REF!</definedName>
    <definedName name="NOTES" localSheetId="2">#REF!</definedName>
    <definedName name="NOTES">#REF!</definedName>
    <definedName name="NR" localSheetId="2">#REF!</definedName>
    <definedName name="NR">#REF!</definedName>
    <definedName name="OfficerSalary">#N/A</definedName>
    <definedName name="OffsetAcctBil">[24]JEexport!$L$10</definedName>
    <definedName name="OffsetAcctPmt">[24]JEexport!$L$9</definedName>
    <definedName name="Org11_13">#N/A</definedName>
    <definedName name="Org7_10">#N/A</definedName>
    <definedName name="OthCanTons">[12]Cust_Count1!$O$28</definedName>
    <definedName name="OthComYd">'[12]Gross Yardage Worksheet'!$L$82</definedName>
    <definedName name="OthMultiYd">'[12]Gross Yardage Worksheet'!$L$98</definedName>
    <definedName name="p" localSheetId="2">#REF!</definedName>
    <definedName name="p">#REF!</definedName>
    <definedName name="PAGE_1" localSheetId="2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 localSheetId="2">#REF!</definedName>
    <definedName name="Page16">#REF!</definedName>
    <definedName name="Page17" localSheetId="2">#REF!</definedName>
    <definedName name="Page17">#REF!</definedName>
    <definedName name="Page18" localSheetId="2">#REF!</definedName>
    <definedName name="Page18">#REF!</definedName>
    <definedName name="Page20">#REF!</definedName>
    <definedName name="page7">#REF!</definedName>
    <definedName name="Page7a" localSheetId="2">#REF!</definedName>
    <definedName name="Page7a">#REF!</definedName>
    <definedName name="pBatchID" localSheetId="2">#REF!</definedName>
    <definedName name="pBatchID">#REF!</definedName>
    <definedName name="pBillArea" localSheetId="2">#REF!</definedName>
    <definedName name="pBillArea">#REF!</definedName>
    <definedName name="pBillCycle" localSheetId="2">#REF!</definedName>
    <definedName name="pBillCycle">#REF!</definedName>
    <definedName name="pCategory" localSheetId="2">#REF!</definedName>
    <definedName name="pCategory">#REF!</definedName>
    <definedName name="pCompany" localSheetId="2">#REF!</definedName>
    <definedName name="pCompany">#REF!</definedName>
    <definedName name="pCustomerNumber" localSheetId="2">#REF!</definedName>
    <definedName name="pCustomerNumber">#REF!</definedName>
    <definedName name="pDatabase" localSheetId="2">#REF!</definedName>
    <definedName name="pDatabase">#REF!</definedName>
    <definedName name="pEndPostDate" localSheetId="2">#REF!</definedName>
    <definedName name="pEndPostDate">#REF!</definedName>
    <definedName name="Period" localSheetId="2">#REF!</definedName>
    <definedName name="Period">#REF!</definedName>
    <definedName name="pMonth" localSheetId="2">#REF!</definedName>
    <definedName name="pMonth">#REF!</definedName>
    <definedName name="pOnlyShowLastTranx" localSheetId="2">#REF!</definedName>
    <definedName name="pOnlyShowLastTranx">#REF!</definedName>
    <definedName name="Posting">#REF!</definedName>
    <definedName name="primtbl">[1]Orientation!$C$23</definedName>
    <definedName name="_xlnm.Print_Area" localSheetId="3">#REF!</definedName>
    <definedName name="_xlnm.Print_Area" localSheetId="2">'Proposed Rates'!$A$1:$H$175</definedName>
    <definedName name="_xlnm.Print_Area" localSheetId="0">References!$A$1:$J$94</definedName>
    <definedName name="_xlnm.Print_Area" localSheetId="1">'Regulated DF Calc'!$A$1:$T$138</definedName>
    <definedName name="_xlnm.Print_Area">#REF!</definedName>
    <definedName name="Print_Area_MI" localSheetId="2">#REF!</definedName>
    <definedName name="Print_Area_MI">#REF!</definedName>
    <definedName name="Print_Area1" localSheetId="2">#REF!</definedName>
    <definedName name="Print_Area1">#REF!</definedName>
    <definedName name="Print_Area2" localSheetId="2">#REF!</definedName>
    <definedName name="Print_Area2">#REF!</definedName>
    <definedName name="Print_Area3" localSheetId="2">#REF!</definedName>
    <definedName name="Print_Area3">#REF!</definedName>
    <definedName name="Print_Area5" localSheetId="2">#REF!</definedName>
    <definedName name="Print_Area5">#REF!</definedName>
    <definedName name="_xlnm.Print_Titles" localSheetId="2">'Proposed Rates'!$5:$7</definedName>
    <definedName name="_xlnm.Print_Titles" localSheetId="1">'Regulated DF Calc'!$A:$B,'Regulated DF Calc'!$5:$6</definedName>
    <definedName name="Print1" localSheetId="2">#REF!</definedName>
    <definedName name="Print1">#REF!</definedName>
    <definedName name="Print2" localSheetId="2">#REF!</definedName>
    <definedName name="Print2">#REF!</definedName>
    <definedName name="Print5" localSheetId="2">#REF!</definedName>
    <definedName name="Print5">#REF!</definedName>
    <definedName name="ProRev" localSheetId="2">'[7]Pacific Regulated - Price Out'!$M$49</definedName>
    <definedName name="ProRev">'[8]Pacific Regulated - Price Out'!$M$49</definedName>
    <definedName name="ProRev_com" localSheetId="2">'[7]Pacific Regulated - Price Out'!$M$213</definedName>
    <definedName name="ProRev_com">'[8]Pacific Regulated - Price Out'!$M$213</definedName>
    <definedName name="ProRev_mfr" localSheetId="2">'[7]Pacific Regulated - Price Out'!$M$221</definedName>
    <definedName name="ProRev_mfr">'[8]Pacific Regulated - Price Out'!$M$221</definedName>
    <definedName name="ProRev_ro" localSheetId="2">'[7]Pacific Regulated - Price Out'!$M$281</definedName>
    <definedName name="ProRev_ro">'[8]Pacific Regulated - Price Out'!$M$281</definedName>
    <definedName name="ProRev_rr" localSheetId="2">'[7]Pacific Regulated - Price Out'!$M$58</definedName>
    <definedName name="ProRev_rr">'[8]Pacific Regulated - Price Out'!$M$58</definedName>
    <definedName name="ProRev_yw" localSheetId="2">'[7]Pacific Regulated - Price Out'!$M$69</definedName>
    <definedName name="ProRev_yw">'[8]Pacific Regulated - Price Out'!$M$69</definedName>
    <definedName name="pServer" localSheetId="2">#REF!</definedName>
    <definedName name="pServer">#REF!</definedName>
    <definedName name="pServiceCode" localSheetId="2">#REF!</definedName>
    <definedName name="pServiceCode">#REF!</definedName>
    <definedName name="pShowAllUnposted" localSheetId="2">#REF!</definedName>
    <definedName name="pShowAllUnposted">#REF!</definedName>
    <definedName name="pShowCustomerDetail" localSheetId="2">#REF!</definedName>
    <definedName name="pShowCustomerDetail">#REF!</definedName>
    <definedName name="pSortOption" localSheetId="2">#REF!</definedName>
    <definedName name="pSortOption">#REF!</definedName>
    <definedName name="pStartPostDate" localSheetId="2">#REF!</definedName>
    <definedName name="pStartPostDate">#REF!</definedName>
    <definedName name="pTransType" localSheetId="2">#REF!</definedName>
    <definedName name="pTransType">#REF!</definedName>
    <definedName name="RCW_81.04.080">#N/A</definedName>
    <definedName name="RecyDisposal">#N/A</definedName>
    <definedName name="Reg_Cust_Billed_Percent" localSheetId="2">'[25]Consolidated IS 2009 2010'!$AK$20</definedName>
    <definedName name="Reg_Cust_Billed_Percent">'[26]Consolidated IS 2009 2010'!$AK$20</definedName>
    <definedName name="Reg_Cust_Percent" localSheetId="2">'[25]Consolidated IS 2009 2010'!$AC$20</definedName>
    <definedName name="Reg_Cust_Percent">'[26]Consolidated IS 2009 2010'!$AC$20</definedName>
    <definedName name="Reg_Drive_Percent" localSheetId="2">'[25]Consolidated IS 2009 2010'!$AC$40</definedName>
    <definedName name="Reg_Drive_Percent">'[26]Consolidated IS 2009 2010'!$AC$40</definedName>
    <definedName name="Reg_Haul_Rev_Percent" localSheetId="2">'[25]Consolidated IS 2009 2010'!$Z$18</definedName>
    <definedName name="Reg_Haul_Rev_Percent">'[26]Consolidated IS 2009 2010'!$Z$18</definedName>
    <definedName name="Reg_Lab_Percent" localSheetId="2">'[25]Consolidated IS 2009 2010'!$AC$39</definedName>
    <definedName name="Reg_Lab_Percent">'[26]Consolidated IS 2009 2010'!$AC$39</definedName>
    <definedName name="Reg_Steel_Cont_Percent" localSheetId="2">'[25]Consolidated IS 2009 2010'!$AE$120</definedName>
    <definedName name="Reg_Steel_Cont_Percent">'[26]Consolidated IS 2009 2010'!$AE$120</definedName>
    <definedName name="RegulatedIS" localSheetId="2">'[25]2009 IS'!$A$12:$Q$655</definedName>
    <definedName name="RegulatedIS">'[26]2009 IS'!$A$12:$Q$655</definedName>
    <definedName name="RelatedSalary">#N/A</definedName>
    <definedName name="report_type">[1]Orientation!$C$24</definedName>
    <definedName name="Reporting_Jurisdiction">'[11]Title Inputs'!$C$4</definedName>
    <definedName name="ReportNames">[27]ControlPanel!$S$2:$S$16</definedName>
    <definedName name="ReportVersion">[1]Settings!$D$5</definedName>
    <definedName name="ReslStaffPriceOut" localSheetId="2">'[13]Price Out-Reg EASTSIDE-Resi'!#REF!</definedName>
    <definedName name="ReslStaffPriceOut">'[13]Price Out-Reg EASTSIDE-Resi'!#REF!</definedName>
    <definedName name="RetainedEarnings" localSheetId="2">#REF!</definedName>
    <definedName name="RetainedEarnings">#REF!</definedName>
    <definedName name="RevCust" localSheetId="2">[28]RevenuesCust!#REF!</definedName>
    <definedName name="RevCust">[29]RevenuesCust!#REF!</definedName>
    <definedName name="RevCustomer" localSheetId="2">#REF!</definedName>
    <definedName name="RevCustomer">#REF!</definedName>
    <definedName name="rngBodyText">[2]Delivery!$B$15</definedName>
    <definedName name="RngBottomRight">[2]Delivery!$B$23</definedName>
    <definedName name="rngColDelChars">[2]Delivery!$B$26</definedName>
    <definedName name="rngColumnDelete">[2]Delivery!$B$26</definedName>
    <definedName name="rngCreateLog">[1]Delivery!$B$12</definedName>
    <definedName name="rngDeleteColumns">[2]Delivery!$A$29:$A$38</definedName>
    <definedName name="rngDeleteRows">[2]Delivery!$B$29:$B$38</definedName>
    <definedName name="rngEmail">[2]Delivery!$B$9</definedName>
    <definedName name="rngFileDir">[2]Delivery!$B$6</definedName>
    <definedName name="rngFileFormat">[2]Delivery!$B$4</definedName>
    <definedName name="rngFileName">[2]Delivery!$B$5</definedName>
    <definedName name="rngFilePassword">[1]Delivery!$B$6</definedName>
    <definedName name="rngPassword">[2]Delivery!$B$21</definedName>
    <definedName name="rngPasswordProtect">[2]Delivery!$B$20</definedName>
    <definedName name="rngPrint">[2]Delivery!$B$11</definedName>
    <definedName name="rngRetainFormulas">[2]Delivery!$B$19</definedName>
    <definedName name="rngSaveFile">[2]Delivery!$B$10</definedName>
    <definedName name="rngSourceTab">[1]Delivery!$E$8</definedName>
    <definedName name="rngSubjectLine">[2]Delivery!$B$14</definedName>
    <definedName name="rngTabName">[2]Delivery!$B$18</definedName>
    <definedName name="rngTopLeft">[2]Delivery!$B$22</definedName>
    <definedName name="rowgroup">[1]Orientation!$C$17</definedName>
    <definedName name="rowsegment">[1]Orientation!$B$17</definedName>
    <definedName name="RptEmailAddress">[2]Delivery!$D$4:$D$1005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2">#REF!</definedName>
    <definedName name="sortcol">#REF!</definedName>
    <definedName name="Source">[23]DropDownRanges!$D$4:$D$7</definedName>
    <definedName name="SPWS_WBID">"115966228744984"</definedName>
    <definedName name="sSRCDate" localSheetId="2">'[30]Feb''12 FAR Data'!#REF!</definedName>
    <definedName name="sSRCDate">'[31]Feb''12 FAR Data'!#REF!</definedName>
    <definedName name="SubSystems">#REF!</definedName>
    <definedName name="Supplemental_filter">[1]Settings!$C$31</definedName>
    <definedName name="SWDisposal">#N/A</definedName>
    <definedName name="System" localSheetId="2">[32]BS_Close!$V$8</definedName>
    <definedName name="System">[32]BS_Close!$V$8</definedName>
    <definedName name="Systems">#REF!</definedName>
    <definedName name="TemplateEnd" localSheetId="2">#REF!</definedName>
    <definedName name="TemplateEnd">#REF!</definedName>
    <definedName name="TemplateStart" localSheetId="2">#REF!</definedName>
    <definedName name="TemplateStart">#REF!</definedName>
    <definedName name="TheTable" localSheetId="2">#REF!</definedName>
    <definedName name="TheTable">#REF!</definedName>
    <definedName name="TheTableOLD" localSheetId="2">#REF!</definedName>
    <definedName name="TheTableOLD">#REF!</definedName>
    <definedName name="timeseries">[1]Orientation!$B$6:$C$13</definedName>
    <definedName name="ToMonth">#REF!</definedName>
    <definedName name="Tons" localSheetId="2">#REF!</definedName>
    <definedName name="Tons">#REF!</definedName>
    <definedName name="Total_Comm" localSheetId="2">'[9]Tariff Rate Sheet'!$L$214</definedName>
    <definedName name="Total_Comm">'[10]Tariff Rate Sheet'!$L$214</definedName>
    <definedName name="Total_DB" localSheetId="2">'[9]Tariff Rate Sheet'!$L$278</definedName>
    <definedName name="Total_DB">'[10]Tariff Rate Sheet'!$L$278</definedName>
    <definedName name="Total_Resi" localSheetId="2">'[9]Tariff Rate Sheet'!$L$107</definedName>
    <definedName name="Total_Resi">'[10]Tariff Rate Sheet'!$L$107</definedName>
    <definedName name="TotalYards">'[12]Gross Yardage Worksheet'!$N$101</definedName>
    <definedName name="TOTCONT">'[22]Sorted Master'!$K$9</definedName>
    <definedName name="TOTCRECCONT">'[22]Sorted Master'!$Z$9</definedName>
    <definedName name="TOTCRECTH">'[22]Sorted Master'!$Z$8</definedName>
    <definedName name="TOTDEBTH">'[22]Sorted Master'!$AD$8</definedName>
    <definedName name="Transactions" localSheetId="2">#REF!</definedName>
    <definedName name="Transactions">#REF!</definedName>
    <definedName name="UnregulatedIS" localSheetId="2">'[25]2010 IS'!$A$12:$Q$654</definedName>
    <definedName name="UnregulatedIS">'[26]2010 IS'!$A$12:$Q$654</definedName>
    <definedName name="ValidFormats">[2]Delivery!$AA$4:$AA$10</definedName>
    <definedName name="VendorCode">#REF!</definedName>
    <definedName name="Version" localSheetId="2">[17]Data!#REF!</definedName>
    <definedName name="Version">[18]Data!#REF!</definedName>
    <definedName name="wrn.PrintReview.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2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2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2">#REF!</definedName>
    <definedName name="WTable">#REF!</definedName>
    <definedName name="WTableOld" localSheetId="2">#REF!</definedName>
    <definedName name="WTableOld">#REF!</definedName>
    <definedName name="ww" localSheetId="2">#REF!</definedName>
    <definedName name="ww">#REF!</definedName>
    <definedName name="xperiod">[1]Orientation!$G$15</definedName>
    <definedName name="xtabin" localSheetId="2">[5]Hidden!#REF!</definedName>
    <definedName name="xtabin">[6]Hidden!#REF!</definedName>
    <definedName name="xx" localSheetId="2">#REF!</definedName>
    <definedName name="xx">#REF!</definedName>
    <definedName name="xxx" localSheetId="2">#REF!</definedName>
    <definedName name="xxx">#REF!</definedName>
    <definedName name="xxxx" localSheetId="2">#REF!</definedName>
    <definedName name="xxxx">#REF!</definedName>
    <definedName name="Year_of_Review">'[11]Title Inputs'!$C$3</definedName>
    <definedName name="YearMonth" localSheetId="2">'[19]Vashon BS'!#REF!</definedName>
    <definedName name="YearMonth">'[20]Vashon BS'!#REF!</definedName>
    <definedName name="YWMedWasteDisp">#N/A</definedName>
    <definedName name="yy" localSheetId="2">#REF!</definedName>
    <definedName name="yy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7" i="3" l="1"/>
  <c r="I125" i="2" l="1"/>
  <c r="B117" i="3"/>
  <c r="J125" i="2" l="1"/>
  <c r="K125" i="2" s="1"/>
  <c r="R125" i="2"/>
  <c r="B168" i="3"/>
  <c r="B85" i="1"/>
  <c r="B88" i="1" s="1"/>
  <c r="C85" i="1"/>
  <c r="C88" i="1" s="1"/>
  <c r="A2" i="3" l="1"/>
  <c r="J123" i="2"/>
  <c r="R123" i="2"/>
  <c r="R124" i="2"/>
  <c r="R126" i="2"/>
  <c r="R127" i="2"/>
  <c r="R128" i="2"/>
  <c r="R129" i="2"/>
  <c r="R130" i="2"/>
  <c r="R131" i="2"/>
  <c r="R132" i="2"/>
  <c r="R133" i="2"/>
  <c r="I30" i="2" l="1"/>
  <c r="H30" i="2"/>
  <c r="R30" i="2" s="1"/>
  <c r="J30" i="2" l="1"/>
  <c r="I29" i="2" l="1"/>
  <c r="I15" i="2" l="1"/>
  <c r="O101" i="2"/>
  <c r="I101" i="2"/>
  <c r="O97" i="2"/>
  <c r="I97" i="2"/>
  <c r="I75" i="2"/>
  <c r="O75" i="2"/>
  <c r="I69" i="2"/>
  <c r="O69" i="2"/>
  <c r="I55" i="2"/>
  <c r="O55" i="2"/>
  <c r="U105" i="2"/>
  <c r="O51" i="2"/>
  <c r="I51" i="2"/>
  <c r="E104" i="2"/>
  <c r="E15" i="2"/>
  <c r="H15" i="2" l="1"/>
  <c r="P115" i="2"/>
  <c r="D42" i="8" l="1"/>
  <c r="D41" i="8"/>
  <c r="E27" i="8"/>
  <c r="D27" i="8"/>
  <c r="E24" i="8"/>
  <c r="D24" i="8"/>
  <c r="I23" i="8"/>
  <c r="E23" i="8"/>
  <c r="D23" i="8"/>
  <c r="E22" i="8"/>
  <c r="D22" i="8"/>
  <c r="E21" i="8"/>
  <c r="D21" i="8"/>
  <c r="D33" i="8" s="1"/>
  <c r="E17" i="8"/>
  <c r="D17" i="8"/>
  <c r="E14" i="8"/>
  <c r="D14" i="8"/>
  <c r="E13" i="8"/>
  <c r="D13" i="8"/>
  <c r="E12" i="8"/>
  <c r="D12" i="8"/>
  <c r="I11" i="8"/>
  <c r="D43" i="8" l="1"/>
  <c r="F14" i="8"/>
  <c r="H113" i="2"/>
  <c r="E15" i="8"/>
  <c r="I24" i="8" s="1"/>
  <c r="I25" i="8" s="1"/>
  <c r="D34" i="8"/>
  <c r="E34" i="8"/>
  <c r="I15" i="8" s="1"/>
  <c r="D15" i="8"/>
  <c r="D18" i="8" s="1"/>
  <c r="F23" i="8"/>
  <c r="E25" i="8"/>
  <c r="E28" i="8" s="1"/>
  <c r="F24" i="8"/>
  <c r="F22" i="8"/>
  <c r="E33" i="8"/>
  <c r="I14" i="8" s="1"/>
  <c r="F21" i="8"/>
  <c r="D32" i="8"/>
  <c r="D35" i="8" s="1"/>
  <c r="F12" i="8"/>
  <c r="D25" i="8"/>
  <c r="D28" i="8" s="1"/>
  <c r="E32" i="8"/>
  <c r="E18" i="8" l="1"/>
  <c r="E35" i="8"/>
  <c r="I13" i="8"/>
  <c r="I16" i="8" s="1"/>
  <c r="I17" i="8" s="1"/>
  <c r="I18" i="8" s="1"/>
  <c r="O29" i="2" l="1"/>
  <c r="G29" i="2"/>
  <c r="H29" i="2" s="1"/>
  <c r="O26" i="2"/>
  <c r="G26" i="2"/>
  <c r="H26" i="2" s="1"/>
  <c r="I26" i="2"/>
  <c r="O23" i="2"/>
  <c r="R23" i="2" s="1"/>
  <c r="O15" i="2"/>
  <c r="R15" i="2" s="1"/>
  <c r="R26" i="2" l="1"/>
  <c r="R29" i="2"/>
  <c r="J29" i="2"/>
  <c r="J26" i="2"/>
  <c r="J15" i="2"/>
  <c r="E32" i="2" l="1"/>
  <c r="U31" i="2"/>
  <c r="U32" i="2"/>
  <c r="U33" i="2"/>
  <c r="U34" i="2"/>
  <c r="U35" i="2"/>
  <c r="U36" i="2"/>
  <c r="F73" i="1"/>
  <c r="F76" i="1" l="1"/>
  <c r="F78" i="1" s="1"/>
  <c r="C91" i="1" l="1"/>
  <c r="B91" i="1"/>
  <c r="B93" i="1" l="1"/>
  <c r="B95" i="1" s="1"/>
  <c r="C93" i="1"/>
  <c r="C95" i="1" s="1"/>
  <c r="H83" i="1" l="1"/>
  <c r="H85" i="1" s="1"/>
  <c r="H87" i="1" s="1"/>
  <c r="C97" i="1"/>
  <c r="G83" i="1"/>
  <c r="G85" i="1" s="1"/>
  <c r="G87" i="1" s="1"/>
  <c r="B97" i="1"/>
  <c r="E67" i="1"/>
  <c r="C67" i="1"/>
  <c r="D67" i="1" s="1"/>
  <c r="O103" i="2"/>
  <c r="H91" i="1" l="1"/>
  <c r="G91" i="1"/>
  <c r="I92" i="2"/>
  <c r="O92" i="2"/>
  <c r="R92" i="2" s="1"/>
  <c r="I21" i="2"/>
  <c r="C68" i="1" l="1"/>
  <c r="E68" i="1"/>
  <c r="E69" i="1" s="1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2" i="2"/>
  <c r="O53" i="2"/>
  <c r="O54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70" i="2"/>
  <c r="O71" i="2"/>
  <c r="O72" i="2"/>
  <c r="O73" i="2"/>
  <c r="O74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3" i="2"/>
  <c r="O94" i="2"/>
  <c r="O95" i="2"/>
  <c r="O96" i="2"/>
  <c r="O98" i="2"/>
  <c r="O99" i="2"/>
  <c r="O100" i="2"/>
  <c r="O102" i="2"/>
  <c r="O104" i="2"/>
  <c r="O10" i="2"/>
  <c r="R10" i="2" s="1"/>
  <c r="O11" i="2"/>
  <c r="R11" i="2" s="1"/>
  <c r="O12" i="2"/>
  <c r="R12" i="2" s="1"/>
  <c r="O13" i="2"/>
  <c r="R13" i="2" s="1"/>
  <c r="O14" i="2"/>
  <c r="R14" i="2" s="1"/>
  <c r="O16" i="2"/>
  <c r="R16" i="2" s="1"/>
  <c r="O17" i="2"/>
  <c r="R17" i="2" s="1"/>
  <c r="O18" i="2"/>
  <c r="R18" i="2" s="1"/>
  <c r="O19" i="2"/>
  <c r="R19" i="2" s="1"/>
  <c r="O20" i="2"/>
  <c r="R20" i="2" s="1"/>
  <c r="O21" i="2"/>
  <c r="R21" i="2" s="1"/>
  <c r="O22" i="2"/>
  <c r="R22" i="2" s="1"/>
  <c r="O24" i="2"/>
  <c r="O25" i="2"/>
  <c r="O27" i="2"/>
  <c r="O28" i="2"/>
  <c r="C69" i="1" l="1"/>
  <c r="C70" i="1" s="1"/>
  <c r="C55" i="1"/>
  <c r="C56" i="1"/>
  <c r="I130" i="2" s="1"/>
  <c r="J130" i="2" s="1"/>
  <c r="C50" i="1"/>
  <c r="I77" i="2" l="1"/>
  <c r="C12" i="1" l="1"/>
  <c r="C13" i="1"/>
  <c r="G10" i="2" l="1"/>
  <c r="H10" i="2" s="1"/>
  <c r="G101" i="2"/>
  <c r="G23" i="2"/>
  <c r="G55" i="2"/>
  <c r="G62" i="2"/>
  <c r="G75" i="2"/>
  <c r="C11" i="1"/>
  <c r="G51" i="2" s="1"/>
  <c r="G92" i="2"/>
  <c r="C8" i="1"/>
  <c r="C9" i="1"/>
  <c r="G69" i="2" s="1"/>
  <c r="C10" i="1"/>
  <c r="H75" i="2" l="1"/>
  <c r="J75" i="2" s="1"/>
  <c r="R75" i="2"/>
  <c r="H62" i="2"/>
  <c r="R62" i="2"/>
  <c r="H69" i="2"/>
  <c r="J69" i="2" s="1"/>
  <c r="R69" i="2"/>
  <c r="H101" i="2"/>
  <c r="J101" i="2" s="1"/>
  <c r="R101" i="2"/>
  <c r="H51" i="2"/>
  <c r="J51" i="2" s="1"/>
  <c r="R51" i="2"/>
  <c r="H55" i="2"/>
  <c r="R55" i="2"/>
  <c r="H92" i="2"/>
  <c r="J92" i="2" s="1"/>
  <c r="H23" i="2"/>
  <c r="J23" i="2" s="1"/>
  <c r="J55" i="2"/>
  <c r="G46" i="2"/>
  <c r="G45" i="2"/>
  <c r="D8" i="1"/>
  <c r="E8" i="1"/>
  <c r="I13" i="1"/>
  <c r="I12" i="1"/>
  <c r="G97" i="2" s="1"/>
  <c r="I11" i="1"/>
  <c r="I10" i="1"/>
  <c r="I9" i="1"/>
  <c r="I8" i="1"/>
  <c r="H13" i="1"/>
  <c r="H12" i="1"/>
  <c r="H11" i="1"/>
  <c r="H10" i="1"/>
  <c r="H9" i="1"/>
  <c r="H8" i="1"/>
  <c r="G13" i="1"/>
  <c r="G12" i="1"/>
  <c r="G11" i="1"/>
  <c r="G10" i="1"/>
  <c r="G9" i="1"/>
  <c r="G8" i="1"/>
  <c r="F13" i="1"/>
  <c r="F12" i="1"/>
  <c r="F11" i="1"/>
  <c r="F10" i="1"/>
  <c r="F9" i="1"/>
  <c r="F8" i="1"/>
  <c r="E13" i="1"/>
  <c r="E12" i="1"/>
  <c r="E11" i="1"/>
  <c r="E10" i="1"/>
  <c r="E9" i="1"/>
  <c r="D13" i="1"/>
  <c r="D12" i="1"/>
  <c r="D11" i="1"/>
  <c r="D10" i="1"/>
  <c r="D9" i="1"/>
  <c r="H46" i="2" l="1"/>
  <c r="R46" i="2"/>
  <c r="H45" i="2"/>
  <c r="R45" i="2"/>
  <c r="H97" i="2"/>
  <c r="J97" i="2" s="1"/>
  <c r="R97" i="2"/>
  <c r="F68" i="1" l="1"/>
  <c r="F67" i="1"/>
  <c r="G104" i="2"/>
  <c r="I103" i="2"/>
  <c r="G103" i="2"/>
  <c r="I102" i="2"/>
  <c r="G102" i="2"/>
  <c r="I100" i="2"/>
  <c r="I99" i="2"/>
  <c r="I98" i="2"/>
  <c r="I96" i="2"/>
  <c r="I95" i="2"/>
  <c r="I94" i="2"/>
  <c r="I93" i="2"/>
  <c r="I91" i="2"/>
  <c r="G91" i="2"/>
  <c r="R91" i="2" s="1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G83" i="2"/>
  <c r="I82" i="2"/>
  <c r="G82" i="2"/>
  <c r="I81" i="2"/>
  <c r="G81" i="2"/>
  <c r="I80" i="2"/>
  <c r="G80" i="2"/>
  <c r="I79" i="2"/>
  <c r="G79" i="2"/>
  <c r="I76" i="2"/>
  <c r="I74" i="2"/>
  <c r="I73" i="2"/>
  <c r="I72" i="2"/>
  <c r="I71" i="2"/>
  <c r="I70" i="2"/>
  <c r="I68" i="2"/>
  <c r="I67" i="2"/>
  <c r="I66" i="2"/>
  <c r="I63" i="2"/>
  <c r="I62" i="2"/>
  <c r="I61" i="2"/>
  <c r="I60" i="2"/>
  <c r="I59" i="2"/>
  <c r="I58" i="2"/>
  <c r="I57" i="2"/>
  <c r="I56" i="2"/>
  <c r="I54" i="2"/>
  <c r="I53" i="2"/>
  <c r="I52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G28" i="2"/>
  <c r="H28" i="2" s="1"/>
  <c r="R28" i="2" s="1"/>
  <c r="G27" i="2"/>
  <c r="H27" i="2" s="1"/>
  <c r="R27" i="2" s="1"/>
  <c r="I25" i="2"/>
  <c r="G25" i="2"/>
  <c r="H25" i="2" s="1"/>
  <c r="R25" i="2" s="1"/>
  <c r="I24" i="2"/>
  <c r="G24" i="2"/>
  <c r="H24" i="2" s="1"/>
  <c r="R24" i="2" s="1"/>
  <c r="I20" i="2"/>
  <c r="I19" i="2"/>
  <c r="I18" i="2"/>
  <c r="I17" i="2"/>
  <c r="I16" i="2"/>
  <c r="I14" i="2"/>
  <c r="I13" i="2"/>
  <c r="I12" i="2"/>
  <c r="I11" i="2"/>
  <c r="I10" i="2"/>
  <c r="J10" i="2" s="1"/>
  <c r="D68" i="1"/>
  <c r="C62" i="1"/>
  <c r="C61" i="1"/>
  <c r="I129" i="2" s="1"/>
  <c r="J129" i="2" s="1"/>
  <c r="C59" i="1"/>
  <c r="C58" i="1"/>
  <c r="I132" i="2" s="1"/>
  <c r="J132" i="2" s="1"/>
  <c r="C57" i="1"/>
  <c r="C53" i="1"/>
  <c r="C52" i="1"/>
  <c r="C51" i="1"/>
  <c r="C48" i="1"/>
  <c r="C47" i="1"/>
  <c r="C46" i="1"/>
  <c r="C42" i="1"/>
  <c r="I124" i="2" s="1"/>
  <c r="J124" i="2" s="1"/>
  <c r="C31" i="1"/>
  <c r="C29" i="1"/>
  <c r="C26" i="1"/>
  <c r="C14" i="1"/>
  <c r="I126" i="2" l="1"/>
  <c r="J126" i="2" s="1"/>
  <c r="I131" i="2"/>
  <c r="J131" i="2" s="1"/>
  <c r="I128" i="2"/>
  <c r="J128" i="2" s="1"/>
  <c r="I133" i="2"/>
  <c r="J133" i="2" s="1"/>
  <c r="I127" i="2"/>
  <c r="J127" i="2" s="1"/>
  <c r="H87" i="2"/>
  <c r="R87" i="2"/>
  <c r="H91" i="2"/>
  <c r="H84" i="2"/>
  <c r="R84" i="2"/>
  <c r="H88" i="2"/>
  <c r="R88" i="2"/>
  <c r="H80" i="2"/>
  <c r="R80" i="2"/>
  <c r="H103" i="2"/>
  <c r="R103" i="2"/>
  <c r="H102" i="2"/>
  <c r="R102" i="2"/>
  <c r="H85" i="2"/>
  <c r="R85" i="2"/>
  <c r="H89" i="2"/>
  <c r="R89" i="2"/>
  <c r="H83" i="2"/>
  <c r="R83" i="2"/>
  <c r="H81" i="2"/>
  <c r="R81" i="2"/>
  <c r="H104" i="2"/>
  <c r="J104" i="2" s="1"/>
  <c r="R104" i="2"/>
  <c r="H79" i="2"/>
  <c r="R79" i="2"/>
  <c r="H86" i="2"/>
  <c r="R86" i="2"/>
  <c r="H90" i="2"/>
  <c r="R90" i="2"/>
  <c r="H82" i="2"/>
  <c r="R82" i="2"/>
  <c r="P116" i="2"/>
  <c r="E70" i="1"/>
  <c r="Q116" i="2" s="1"/>
  <c r="E69" i="3"/>
  <c r="C73" i="1"/>
  <c r="C74" i="1" s="1"/>
  <c r="E68" i="3"/>
  <c r="G14" i="1"/>
  <c r="G58" i="2"/>
  <c r="F69" i="1"/>
  <c r="I14" i="1"/>
  <c r="D14" i="1"/>
  <c r="D69" i="1"/>
  <c r="H14" i="1"/>
  <c r="E14" i="1"/>
  <c r="G13" i="2"/>
  <c r="H13" i="2" s="1"/>
  <c r="F14" i="1"/>
  <c r="I22" i="2"/>
  <c r="G74" i="2"/>
  <c r="G60" i="2"/>
  <c r="G76" i="2"/>
  <c r="G70" i="2"/>
  <c r="G65" i="2"/>
  <c r="G63" i="2"/>
  <c r="G61" i="2"/>
  <c r="G100" i="2"/>
  <c r="G99" i="2"/>
  <c r="G78" i="2"/>
  <c r="G77" i="2"/>
  <c r="G71" i="2"/>
  <c r="G66" i="2"/>
  <c r="G64" i="2"/>
  <c r="I64" i="2"/>
  <c r="G38" i="2"/>
  <c r="G40" i="2"/>
  <c r="G42" i="2"/>
  <c r="G44" i="2"/>
  <c r="G48" i="2"/>
  <c r="G50" i="2"/>
  <c r="G53" i="2"/>
  <c r="G56" i="2"/>
  <c r="G72" i="2"/>
  <c r="G67" i="2"/>
  <c r="I78" i="2"/>
  <c r="I83" i="2"/>
  <c r="G11" i="2"/>
  <c r="H11" i="2" s="1"/>
  <c r="G12" i="2"/>
  <c r="H12" i="2" s="1"/>
  <c r="G14" i="2"/>
  <c r="H14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73" i="2"/>
  <c r="G68" i="2"/>
  <c r="G59" i="2"/>
  <c r="G37" i="2"/>
  <c r="R37" i="2" s="1"/>
  <c r="G39" i="2"/>
  <c r="G41" i="2"/>
  <c r="G43" i="2"/>
  <c r="G47" i="2"/>
  <c r="G49" i="2"/>
  <c r="G52" i="2"/>
  <c r="G54" i="2"/>
  <c r="G57" i="2"/>
  <c r="I65" i="2"/>
  <c r="K55" i="3" l="1"/>
  <c r="E55" i="3" s="1"/>
  <c r="L125" i="2"/>
  <c r="M125" i="2" s="1"/>
  <c r="N125" i="2" s="1"/>
  <c r="H72" i="2"/>
  <c r="R72" i="2"/>
  <c r="H38" i="2"/>
  <c r="R38" i="2"/>
  <c r="H100" i="2"/>
  <c r="R100" i="2"/>
  <c r="H61" i="2"/>
  <c r="R61" i="2"/>
  <c r="H58" i="2"/>
  <c r="R58" i="2"/>
  <c r="H52" i="2"/>
  <c r="R52" i="2"/>
  <c r="H73" i="2"/>
  <c r="R73" i="2"/>
  <c r="H53" i="2"/>
  <c r="R53" i="2"/>
  <c r="H64" i="2"/>
  <c r="R64" i="2"/>
  <c r="H63" i="2"/>
  <c r="R63" i="2"/>
  <c r="H47" i="2"/>
  <c r="R47" i="2"/>
  <c r="H50" i="2"/>
  <c r="R50" i="2"/>
  <c r="H66" i="2"/>
  <c r="R66" i="2"/>
  <c r="H65" i="2"/>
  <c r="R65" i="2"/>
  <c r="H48" i="2"/>
  <c r="R48" i="2"/>
  <c r="H71" i="2"/>
  <c r="R71" i="2"/>
  <c r="H70" i="2"/>
  <c r="R70" i="2"/>
  <c r="H54" i="2"/>
  <c r="R54" i="2"/>
  <c r="H68" i="2"/>
  <c r="R68" i="2"/>
  <c r="H77" i="2"/>
  <c r="R77" i="2"/>
  <c r="H59" i="2"/>
  <c r="R59" i="2"/>
  <c r="H43" i="2"/>
  <c r="R43" i="2"/>
  <c r="H76" i="2"/>
  <c r="R76" i="2"/>
  <c r="H39" i="2"/>
  <c r="R39" i="2"/>
  <c r="H42" i="2"/>
  <c r="R42" i="2"/>
  <c r="H78" i="2"/>
  <c r="R78" i="2"/>
  <c r="H60" i="2"/>
  <c r="R60" i="2"/>
  <c r="H56" i="2"/>
  <c r="R56" i="2"/>
  <c r="H49" i="2"/>
  <c r="R49" i="2"/>
  <c r="H41" i="2"/>
  <c r="R41" i="2"/>
  <c r="H44" i="2"/>
  <c r="R44" i="2"/>
  <c r="H57" i="2"/>
  <c r="R57" i="2"/>
  <c r="H67" i="2"/>
  <c r="R67" i="2"/>
  <c r="H40" i="2"/>
  <c r="R40" i="2"/>
  <c r="H99" i="2"/>
  <c r="R99" i="2"/>
  <c r="H74" i="2"/>
  <c r="R74" i="2"/>
  <c r="H37" i="2"/>
  <c r="I32" i="2"/>
  <c r="G68" i="3"/>
  <c r="G69" i="3"/>
  <c r="J25" i="2"/>
  <c r="J79" i="2"/>
  <c r="J27" i="2"/>
  <c r="J87" i="2"/>
  <c r="J103" i="2"/>
  <c r="J24" i="2"/>
  <c r="J91" i="2"/>
  <c r="J86" i="2"/>
  <c r="J102" i="2"/>
  <c r="J81" i="2"/>
  <c r="J83" i="2"/>
  <c r="J88" i="2"/>
  <c r="J90" i="2"/>
  <c r="J85" i="2"/>
  <c r="J80" i="2"/>
  <c r="J28" i="2"/>
  <c r="J84" i="2"/>
  <c r="J82" i="2"/>
  <c r="J89" i="2"/>
  <c r="G98" i="2"/>
  <c r="G96" i="2"/>
  <c r="G95" i="2"/>
  <c r="G94" i="2"/>
  <c r="G93" i="2"/>
  <c r="R93" i="2" s="1"/>
  <c r="J76" i="2"/>
  <c r="J18" i="2"/>
  <c r="J12" i="2"/>
  <c r="J14" i="2"/>
  <c r="J17" i="2"/>
  <c r="J22" i="2"/>
  <c r="J20" i="2"/>
  <c r="J19" i="2"/>
  <c r="J21" i="2"/>
  <c r="J13" i="2"/>
  <c r="J16" i="2"/>
  <c r="J11" i="2"/>
  <c r="P125" i="2" l="1"/>
  <c r="S125" i="2" s="1"/>
  <c r="T125" i="2" s="1"/>
  <c r="E107" i="3"/>
  <c r="H94" i="2"/>
  <c r="R94" i="2"/>
  <c r="H93" i="2"/>
  <c r="H95" i="2"/>
  <c r="R95" i="2"/>
  <c r="H96" i="2"/>
  <c r="R96" i="2"/>
  <c r="H98" i="2"/>
  <c r="R98" i="2"/>
  <c r="J32" i="2"/>
  <c r="E61" i="3"/>
  <c r="E60" i="3"/>
  <c r="E59" i="3"/>
  <c r="E58" i="3"/>
  <c r="E56" i="3"/>
  <c r="E57" i="3"/>
  <c r="R32" i="2"/>
  <c r="J64" i="2"/>
  <c r="J44" i="2"/>
  <c r="J67" i="2"/>
  <c r="J57" i="2"/>
  <c r="J74" i="2"/>
  <c r="J58" i="2"/>
  <c r="J62" i="2"/>
  <c r="J47" i="2"/>
  <c r="J71" i="2"/>
  <c r="J59" i="2"/>
  <c r="J40" i="2"/>
  <c r="J72" i="2"/>
  <c r="J46" i="2"/>
  <c r="J52" i="2"/>
  <c r="J41" i="2"/>
  <c r="J73" i="2"/>
  <c r="J49" i="2"/>
  <c r="J78" i="2"/>
  <c r="J54" i="2"/>
  <c r="J43" i="2"/>
  <c r="J68" i="2"/>
  <c r="J100" i="2"/>
  <c r="J99" i="2"/>
  <c r="J66" i="2"/>
  <c r="J45" i="2"/>
  <c r="J60" i="2"/>
  <c r="J50" i="2"/>
  <c r="J77" i="2"/>
  <c r="J61" i="2"/>
  <c r="J53" i="2"/>
  <c r="J38" i="2"/>
  <c r="H32" i="2"/>
  <c r="J39" i="2"/>
  <c r="J63" i="2"/>
  <c r="J48" i="2"/>
  <c r="J42" i="2"/>
  <c r="J65" i="2"/>
  <c r="J56" i="2"/>
  <c r="J70" i="2"/>
  <c r="J37" i="2"/>
  <c r="G107" i="3" l="1"/>
  <c r="E117" i="3"/>
  <c r="G117" i="3" s="1"/>
  <c r="J96" i="2"/>
  <c r="J93" i="2"/>
  <c r="J94" i="2"/>
  <c r="J98" i="2"/>
  <c r="J95" i="2"/>
  <c r="E106" i="2"/>
  <c r="E108" i="2" s="1"/>
  <c r="H118" i="2"/>
  <c r="J106" i="2" l="1"/>
  <c r="J108" i="2" s="1"/>
  <c r="H106" i="2"/>
  <c r="H108" i="2" s="1"/>
  <c r="R106" i="2"/>
  <c r="R108" i="2" s="1"/>
  <c r="H119" i="2" l="1"/>
  <c r="H120" i="2" s="1"/>
  <c r="C75" i="1" l="1"/>
  <c r="C76" i="1" s="1"/>
  <c r="H114" i="2" l="1"/>
  <c r="H115" i="2" s="1"/>
  <c r="V10" i="2" s="1"/>
  <c r="K128" i="2" l="1"/>
  <c r="L128" i="2" s="1"/>
  <c r="M128" i="2" s="1"/>
  <c r="N128" i="2" s="1"/>
  <c r="P128" i="2" s="1"/>
  <c r="S128" i="2" s="1"/>
  <c r="T128" i="2" s="1"/>
  <c r="K132" i="2"/>
  <c r="L132" i="2" s="1"/>
  <c r="M132" i="2" s="1"/>
  <c r="N132" i="2" s="1"/>
  <c r="P132" i="2" s="1"/>
  <c r="S132" i="2" s="1"/>
  <c r="T132" i="2" s="1"/>
  <c r="K123" i="2"/>
  <c r="L123" i="2" s="1"/>
  <c r="M123" i="2" s="1"/>
  <c r="N123" i="2" s="1"/>
  <c r="P123" i="2" s="1"/>
  <c r="S123" i="2" s="1"/>
  <c r="T123" i="2" s="1"/>
  <c r="K133" i="2"/>
  <c r="L133" i="2" s="1"/>
  <c r="M133" i="2" s="1"/>
  <c r="N133" i="2" s="1"/>
  <c r="P133" i="2" s="1"/>
  <c r="S133" i="2" s="1"/>
  <c r="T133" i="2" s="1"/>
  <c r="K129" i="2"/>
  <c r="L129" i="2" s="1"/>
  <c r="M129" i="2" s="1"/>
  <c r="N129" i="2" s="1"/>
  <c r="P129" i="2" s="1"/>
  <c r="S129" i="2" s="1"/>
  <c r="T129" i="2" s="1"/>
  <c r="K130" i="2"/>
  <c r="L130" i="2" s="1"/>
  <c r="M130" i="2" s="1"/>
  <c r="N130" i="2" s="1"/>
  <c r="P130" i="2" s="1"/>
  <c r="S130" i="2" s="1"/>
  <c r="T130" i="2" s="1"/>
  <c r="K131" i="2"/>
  <c r="L131" i="2" s="1"/>
  <c r="M131" i="2" s="1"/>
  <c r="N131" i="2" s="1"/>
  <c r="P131" i="2" s="1"/>
  <c r="S131" i="2" s="1"/>
  <c r="T131" i="2" s="1"/>
  <c r="K126" i="2"/>
  <c r="L126" i="2" s="1"/>
  <c r="M126" i="2" s="1"/>
  <c r="N126" i="2" s="1"/>
  <c r="P126" i="2" s="1"/>
  <c r="S126" i="2" s="1"/>
  <c r="T126" i="2" s="1"/>
  <c r="K127" i="2"/>
  <c r="L127" i="2" s="1"/>
  <c r="M127" i="2" s="1"/>
  <c r="N127" i="2" s="1"/>
  <c r="P127" i="2" s="1"/>
  <c r="S127" i="2" s="1"/>
  <c r="T127" i="2" s="1"/>
  <c r="K124" i="2"/>
  <c r="L124" i="2" s="1"/>
  <c r="M124" i="2" s="1"/>
  <c r="N124" i="2" s="1"/>
  <c r="P124" i="2" s="1"/>
  <c r="S124" i="2" s="1"/>
  <c r="T124" i="2" s="1"/>
  <c r="J153" i="3"/>
  <c r="K153" i="3" s="1"/>
  <c r="E153" i="3" s="1"/>
  <c r="K30" i="2"/>
  <c r="L30" i="2" s="1"/>
  <c r="M30" i="2" s="1"/>
  <c r="N30" i="2" s="1"/>
  <c r="V92" i="2"/>
  <c r="E33" i="3"/>
  <c r="E32" i="3"/>
  <c r="V37" i="2"/>
  <c r="V66" i="2"/>
  <c r="V96" i="2"/>
  <c r="V91" i="2"/>
  <c r="V67" i="2"/>
  <c r="V45" i="2"/>
  <c r="V40" i="2"/>
  <c r="V72" i="2"/>
  <c r="V53" i="2"/>
  <c r="V15" i="2"/>
  <c r="V16" i="2"/>
  <c r="V14" i="2"/>
  <c r="V38" i="2"/>
  <c r="V70" i="2"/>
  <c r="V100" i="2"/>
  <c r="V39" i="2"/>
  <c r="V71" i="2"/>
  <c r="V57" i="2"/>
  <c r="V44" i="2"/>
  <c r="V76" i="2"/>
  <c r="V69" i="2"/>
  <c r="V19" i="2"/>
  <c r="V24" i="2"/>
  <c r="V22" i="2"/>
  <c r="V59" i="2"/>
  <c r="V18" i="2"/>
  <c r="V42" i="2"/>
  <c r="V74" i="2"/>
  <c r="V104" i="2"/>
  <c r="V43" i="2"/>
  <c r="V75" i="2"/>
  <c r="V81" i="2"/>
  <c r="V48" i="2"/>
  <c r="V80" i="2"/>
  <c r="V87" i="2"/>
  <c r="V23" i="2"/>
  <c r="V26" i="2"/>
  <c r="V49" i="2"/>
  <c r="V25" i="2"/>
  <c r="V46" i="2"/>
  <c r="V78" i="2"/>
  <c r="V103" i="2"/>
  <c r="V47" i="2"/>
  <c r="V79" i="2"/>
  <c r="V99" i="2"/>
  <c r="V52" i="2"/>
  <c r="V83" i="2"/>
  <c r="V41" i="2"/>
  <c r="V27" i="2"/>
  <c r="V13" i="2"/>
  <c r="V93" i="2"/>
  <c r="V77" i="2"/>
  <c r="V94" i="2"/>
  <c r="V50" i="2"/>
  <c r="V82" i="2"/>
  <c r="V97" i="2"/>
  <c r="V51" i="2"/>
  <c r="V85" i="2"/>
  <c r="V102" i="2"/>
  <c r="V56" i="2"/>
  <c r="V86" i="2"/>
  <c r="V61" i="2"/>
  <c r="V20" i="2"/>
  <c r="V17" i="2"/>
  <c r="V58" i="2"/>
  <c r="V64" i="2"/>
  <c r="V54" i="2"/>
  <c r="V105" i="2"/>
  <c r="W105" i="2" s="1"/>
  <c r="V55" i="2"/>
  <c r="V89" i="2"/>
  <c r="V65" i="2"/>
  <c r="V60" i="2"/>
  <c r="V90" i="2"/>
  <c r="V84" i="2"/>
  <c r="V28" i="2"/>
  <c r="V21" i="2"/>
  <c r="V88" i="2"/>
  <c r="V62" i="2"/>
  <c r="V73" i="2"/>
  <c r="V63" i="2"/>
  <c r="V101" i="2"/>
  <c r="V95" i="2"/>
  <c r="V68" i="2"/>
  <c r="V98" i="2"/>
  <c r="V11" i="2"/>
  <c r="V12" i="2"/>
  <c r="V29" i="2"/>
  <c r="K97" i="2"/>
  <c r="L97" i="2" s="1"/>
  <c r="M97" i="2" s="1"/>
  <c r="N97" i="2" s="1"/>
  <c r="K101" i="2"/>
  <c r="L101" i="2" s="1"/>
  <c r="M101" i="2" s="1"/>
  <c r="N101" i="2" s="1"/>
  <c r="K75" i="2"/>
  <c r="L75" i="2" s="1"/>
  <c r="M75" i="2" s="1"/>
  <c r="N75" i="2" s="1"/>
  <c r="K69" i="2"/>
  <c r="L69" i="2" s="1"/>
  <c r="M69" i="2" s="1"/>
  <c r="N69" i="2" s="1"/>
  <c r="K55" i="2"/>
  <c r="L55" i="2" s="1"/>
  <c r="M55" i="2" s="1"/>
  <c r="N55" i="2" s="1"/>
  <c r="K10" i="2"/>
  <c r="L10" i="2" s="1"/>
  <c r="K51" i="2"/>
  <c r="L51" i="2" s="1"/>
  <c r="M51" i="2" s="1"/>
  <c r="N51" i="2" s="1"/>
  <c r="K29" i="2"/>
  <c r="L29" i="2" s="1"/>
  <c r="K26" i="2"/>
  <c r="L26" i="2" s="1"/>
  <c r="M26" i="2" s="1"/>
  <c r="N26" i="2" s="1"/>
  <c r="K15" i="2"/>
  <c r="L15" i="2" s="1"/>
  <c r="M15" i="2" s="1"/>
  <c r="N15" i="2" s="1"/>
  <c r="K23" i="2"/>
  <c r="L23" i="2" s="1"/>
  <c r="K38" i="2"/>
  <c r="L38" i="2" s="1"/>
  <c r="M38" i="2" s="1"/>
  <c r="N38" i="2" s="1"/>
  <c r="K90" i="2"/>
  <c r="L90" i="2" s="1"/>
  <c r="M90" i="2" s="1"/>
  <c r="N90" i="2" s="1"/>
  <c r="K42" i="2"/>
  <c r="L42" i="2" s="1"/>
  <c r="M42" i="2" s="1"/>
  <c r="N42" i="2" s="1"/>
  <c r="K54" i="2"/>
  <c r="L54" i="2" s="1"/>
  <c r="M54" i="2" s="1"/>
  <c r="N54" i="2" s="1"/>
  <c r="K48" i="2"/>
  <c r="L48" i="2" s="1"/>
  <c r="M48" i="2" s="1"/>
  <c r="N48" i="2" s="1"/>
  <c r="K72" i="2"/>
  <c r="L72" i="2" s="1"/>
  <c r="M72" i="2" s="1"/>
  <c r="N72" i="2" s="1"/>
  <c r="K49" i="2"/>
  <c r="L49" i="2" s="1"/>
  <c r="M49" i="2" s="1"/>
  <c r="N49" i="2" s="1"/>
  <c r="K100" i="2"/>
  <c r="L100" i="2" s="1"/>
  <c r="M100" i="2" s="1"/>
  <c r="N100" i="2" s="1"/>
  <c r="K89" i="2"/>
  <c r="L89" i="2" s="1"/>
  <c r="M89" i="2" s="1"/>
  <c r="N89" i="2" s="1"/>
  <c r="K77" i="2"/>
  <c r="L77" i="2" s="1"/>
  <c r="M77" i="2" s="1"/>
  <c r="N77" i="2" s="1"/>
  <c r="K66" i="2"/>
  <c r="L66" i="2" s="1"/>
  <c r="M66" i="2" s="1"/>
  <c r="N66" i="2" s="1"/>
  <c r="K83" i="2"/>
  <c r="L83" i="2" s="1"/>
  <c r="M83" i="2" s="1"/>
  <c r="N83" i="2" s="1"/>
  <c r="K52" i="2"/>
  <c r="L52" i="2" s="1"/>
  <c r="M52" i="2" s="1"/>
  <c r="N52" i="2" s="1"/>
  <c r="K99" i="2"/>
  <c r="L99" i="2" s="1"/>
  <c r="M99" i="2" s="1"/>
  <c r="N99" i="2" s="1"/>
  <c r="K46" i="2"/>
  <c r="L46" i="2" s="1"/>
  <c r="M46" i="2" s="1"/>
  <c r="N46" i="2" s="1"/>
  <c r="K47" i="2"/>
  <c r="L47" i="2" s="1"/>
  <c r="M47" i="2" s="1"/>
  <c r="N47" i="2" s="1"/>
  <c r="K94" i="2"/>
  <c r="L94" i="2" s="1"/>
  <c r="M94" i="2" s="1"/>
  <c r="N94" i="2" s="1"/>
  <c r="K24" i="2"/>
  <c r="L24" i="2" s="1"/>
  <c r="M24" i="2" s="1"/>
  <c r="N24" i="2" s="1"/>
  <c r="K22" i="2"/>
  <c r="L22" i="2" s="1"/>
  <c r="M22" i="2" s="1"/>
  <c r="N22" i="2" s="1"/>
  <c r="K37" i="2"/>
  <c r="K79" i="2"/>
  <c r="L79" i="2" s="1"/>
  <c r="M79" i="2" s="1"/>
  <c r="N79" i="2" s="1"/>
  <c r="K78" i="2"/>
  <c r="L78" i="2" s="1"/>
  <c r="M78" i="2" s="1"/>
  <c r="N78" i="2" s="1"/>
  <c r="K103" i="2"/>
  <c r="L103" i="2" s="1"/>
  <c r="M103" i="2" s="1"/>
  <c r="N103" i="2" s="1"/>
  <c r="K60" i="2"/>
  <c r="L60" i="2" s="1"/>
  <c r="M60" i="2" s="1"/>
  <c r="N60" i="2" s="1"/>
  <c r="K28" i="2"/>
  <c r="L28" i="2" s="1"/>
  <c r="M28" i="2" s="1"/>
  <c r="N28" i="2" s="1"/>
  <c r="K44" i="2"/>
  <c r="L44" i="2" s="1"/>
  <c r="M44" i="2" s="1"/>
  <c r="N44" i="2" s="1"/>
  <c r="K98" i="2"/>
  <c r="L98" i="2" s="1"/>
  <c r="M98" i="2" s="1"/>
  <c r="N98" i="2" s="1"/>
  <c r="K45" i="2"/>
  <c r="L45" i="2" s="1"/>
  <c r="M45" i="2" s="1"/>
  <c r="N45" i="2" s="1"/>
  <c r="K76" i="2"/>
  <c r="L76" i="2" s="1"/>
  <c r="M76" i="2" s="1"/>
  <c r="N76" i="2" s="1"/>
  <c r="K21" i="2"/>
  <c r="L21" i="2" s="1"/>
  <c r="M21" i="2" s="1"/>
  <c r="N21" i="2" s="1"/>
  <c r="K93" i="2"/>
  <c r="L93" i="2" s="1"/>
  <c r="M93" i="2" s="1"/>
  <c r="N93" i="2" s="1"/>
  <c r="K84" i="2"/>
  <c r="L84" i="2" s="1"/>
  <c r="M84" i="2" s="1"/>
  <c r="N84" i="2" s="1"/>
  <c r="K40" i="2"/>
  <c r="L40" i="2" s="1"/>
  <c r="M40" i="2" s="1"/>
  <c r="N40" i="2" s="1"/>
  <c r="K11" i="2"/>
  <c r="L11" i="2" s="1"/>
  <c r="M11" i="2" s="1"/>
  <c r="N11" i="2" s="1"/>
  <c r="K91" i="2"/>
  <c r="L91" i="2" s="1"/>
  <c r="M91" i="2" s="1"/>
  <c r="N91" i="2" s="1"/>
  <c r="K13" i="2"/>
  <c r="L13" i="2" s="1"/>
  <c r="M13" i="2" s="1"/>
  <c r="N13" i="2" s="1"/>
  <c r="K92" i="2"/>
  <c r="L92" i="2" s="1"/>
  <c r="M92" i="2" s="1"/>
  <c r="N92" i="2" s="1"/>
  <c r="K63" i="2"/>
  <c r="L63" i="2" s="1"/>
  <c r="M63" i="2" s="1"/>
  <c r="N63" i="2" s="1"/>
  <c r="K39" i="2"/>
  <c r="L39" i="2" s="1"/>
  <c r="M39" i="2" s="1"/>
  <c r="N39" i="2" s="1"/>
  <c r="K61" i="2"/>
  <c r="L61" i="2" s="1"/>
  <c r="M61" i="2" s="1"/>
  <c r="N61" i="2" s="1"/>
  <c r="K67" i="2"/>
  <c r="L67" i="2" s="1"/>
  <c r="M67" i="2" s="1"/>
  <c r="N67" i="2" s="1"/>
  <c r="K71" i="2"/>
  <c r="L71" i="2" s="1"/>
  <c r="M71" i="2" s="1"/>
  <c r="N71" i="2" s="1"/>
  <c r="K73" i="2"/>
  <c r="L73" i="2" s="1"/>
  <c r="M73" i="2" s="1"/>
  <c r="N73" i="2" s="1"/>
  <c r="K85" i="2"/>
  <c r="L85" i="2" s="1"/>
  <c r="M85" i="2" s="1"/>
  <c r="N85" i="2" s="1"/>
  <c r="K70" i="2"/>
  <c r="L70" i="2" s="1"/>
  <c r="M70" i="2" s="1"/>
  <c r="N70" i="2" s="1"/>
  <c r="K95" i="2"/>
  <c r="L95" i="2" s="1"/>
  <c r="M95" i="2" s="1"/>
  <c r="N95" i="2" s="1"/>
  <c r="K104" i="2"/>
  <c r="L104" i="2" s="1"/>
  <c r="M104" i="2" s="1"/>
  <c r="N104" i="2" s="1"/>
  <c r="K96" i="2"/>
  <c r="L96" i="2" s="1"/>
  <c r="M96" i="2" s="1"/>
  <c r="N96" i="2" s="1"/>
  <c r="K25" i="2"/>
  <c r="L25" i="2" s="1"/>
  <c r="M25" i="2" s="1"/>
  <c r="N25" i="2" s="1"/>
  <c r="K57" i="2"/>
  <c r="L57" i="2" s="1"/>
  <c r="M57" i="2" s="1"/>
  <c r="N57" i="2" s="1"/>
  <c r="K43" i="2"/>
  <c r="L43" i="2" s="1"/>
  <c r="M43" i="2" s="1"/>
  <c r="N43" i="2" s="1"/>
  <c r="K16" i="2"/>
  <c r="L16" i="2" s="1"/>
  <c r="M16" i="2" s="1"/>
  <c r="N16" i="2" s="1"/>
  <c r="K58" i="2"/>
  <c r="L58" i="2" s="1"/>
  <c r="M58" i="2" s="1"/>
  <c r="N58" i="2" s="1"/>
  <c r="K19" i="2"/>
  <c r="L19" i="2" s="1"/>
  <c r="M19" i="2" s="1"/>
  <c r="N19" i="2" s="1"/>
  <c r="K20" i="2"/>
  <c r="L20" i="2" s="1"/>
  <c r="M20" i="2" s="1"/>
  <c r="N20" i="2" s="1"/>
  <c r="K74" i="2"/>
  <c r="L74" i="2" s="1"/>
  <c r="M74" i="2" s="1"/>
  <c r="N74" i="2" s="1"/>
  <c r="K62" i="2"/>
  <c r="L62" i="2" s="1"/>
  <c r="M62" i="2" s="1"/>
  <c r="N62" i="2" s="1"/>
  <c r="K12" i="2"/>
  <c r="L12" i="2" s="1"/>
  <c r="M12" i="2" s="1"/>
  <c r="N12" i="2" s="1"/>
  <c r="K86" i="2"/>
  <c r="L86" i="2" s="1"/>
  <c r="M86" i="2" s="1"/>
  <c r="N86" i="2" s="1"/>
  <c r="K18" i="2"/>
  <c r="L18" i="2" s="1"/>
  <c r="M18" i="2" s="1"/>
  <c r="N18" i="2" s="1"/>
  <c r="K14" i="2"/>
  <c r="L14" i="2" s="1"/>
  <c r="M14" i="2" s="1"/>
  <c r="N14" i="2" s="1"/>
  <c r="K81" i="2"/>
  <c r="L81" i="2" s="1"/>
  <c r="M81" i="2" s="1"/>
  <c r="N81" i="2" s="1"/>
  <c r="K80" i="2"/>
  <c r="L80" i="2" s="1"/>
  <c r="M80" i="2" s="1"/>
  <c r="N80" i="2" s="1"/>
  <c r="K65" i="2"/>
  <c r="L65" i="2" s="1"/>
  <c r="M65" i="2" s="1"/>
  <c r="N65" i="2" s="1"/>
  <c r="K50" i="2"/>
  <c r="L50" i="2" s="1"/>
  <c r="M50" i="2" s="1"/>
  <c r="N50" i="2" s="1"/>
  <c r="K56" i="2"/>
  <c r="L56" i="2" s="1"/>
  <c r="M56" i="2" s="1"/>
  <c r="N56" i="2" s="1"/>
  <c r="K87" i="2"/>
  <c r="L87" i="2" s="1"/>
  <c r="M87" i="2" s="1"/>
  <c r="N87" i="2" s="1"/>
  <c r="K41" i="2"/>
  <c r="L41" i="2" s="1"/>
  <c r="M41" i="2" s="1"/>
  <c r="N41" i="2" s="1"/>
  <c r="K53" i="2"/>
  <c r="L53" i="2" s="1"/>
  <c r="M53" i="2" s="1"/>
  <c r="N53" i="2" s="1"/>
  <c r="K68" i="2"/>
  <c r="L68" i="2" s="1"/>
  <c r="M68" i="2" s="1"/>
  <c r="N68" i="2" s="1"/>
  <c r="K102" i="2"/>
  <c r="L102" i="2" s="1"/>
  <c r="M102" i="2" s="1"/>
  <c r="N102" i="2" s="1"/>
  <c r="K27" i="2"/>
  <c r="L27" i="2" s="1"/>
  <c r="M27" i="2" s="1"/>
  <c r="N27" i="2" s="1"/>
  <c r="K64" i="2"/>
  <c r="L64" i="2" s="1"/>
  <c r="M64" i="2" s="1"/>
  <c r="N64" i="2" s="1"/>
  <c r="K88" i="2"/>
  <c r="L88" i="2" s="1"/>
  <c r="M88" i="2" s="1"/>
  <c r="N88" i="2" s="1"/>
  <c r="K82" i="2"/>
  <c r="L82" i="2" s="1"/>
  <c r="M82" i="2" s="1"/>
  <c r="N82" i="2" s="1"/>
  <c r="K59" i="2"/>
  <c r="L59" i="2" s="1"/>
  <c r="M59" i="2" s="1"/>
  <c r="N59" i="2" s="1"/>
  <c r="K17" i="2"/>
  <c r="L17" i="2" s="1"/>
  <c r="M17" i="2" s="1"/>
  <c r="N17" i="2" s="1"/>
  <c r="W13" i="2" l="1"/>
  <c r="P30" i="2"/>
  <c r="S30" i="2" s="1"/>
  <c r="W53" i="2"/>
  <c r="W94" i="2"/>
  <c r="W12" i="2"/>
  <c r="W59" i="2"/>
  <c r="W51" i="2"/>
  <c r="W71" i="2"/>
  <c r="W92" i="2"/>
  <c r="W68" i="2"/>
  <c r="W87" i="2"/>
  <c r="W44" i="2"/>
  <c r="W54" i="2"/>
  <c r="W42" i="2"/>
  <c r="W86" i="2"/>
  <c r="E45" i="3"/>
  <c r="G32" i="3"/>
  <c r="E46" i="3"/>
  <c r="G33" i="3"/>
  <c r="W58" i="2"/>
  <c r="W78" i="2"/>
  <c r="W28" i="2"/>
  <c r="W56" i="2"/>
  <c r="W14" i="2"/>
  <c r="W76" i="2"/>
  <c r="W48" i="2"/>
  <c r="W57" i="2"/>
  <c r="W90" i="2"/>
  <c r="W27" i="2"/>
  <c r="W43" i="2"/>
  <c r="W66" i="2"/>
  <c r="W80" i="2"/>
  <c r="W88" i="2"/>
  <c r="W67" i="2"/>
  <c r="W91" i="2"/>
  <c r="W98" i="2"/>
  <c r="W64" i="2"/>
  <c r="W74" i="2"/>
  <c r="W84" i="2"/>
  <c r="W77" i="2"/>
  <c r="W95" i="2"/>
  <c r="W21" i="2"/>
  <c r="W103" i="2"/>
  <c r="W18" i="2"/>
  <c r="W85" i="2"/>
  <c r="W79" i="2"/>
  <c r="W52" i="2"/>
  <c r="W96" i="2"/>
  <c r="W102" i="2"/>
  <c r="W93" i="2"/>
  <c r="W47" i="2"/>
  <c r="W16" i="2"/>
  <c r="W104" i="2"/>
  <c r="W38" i="2"/>
  <c r="W61" i="2"/>
  <c r="W19" i="2"/>
  <c r="W70" i="2"/>
  <c r="W99" i="2"/>
  <c r="W49" i="2"/>
  <c r="W45" i="2"/>
  <c r="W26" i="2"/>
  <c r="W73" i="2"/>
  <c r="W65" i="2"/>
  <c r="W20" i="2"/>
  <c r="W60" i="2"/>
  <c r="W39" i="2"/>
  <c r="W81" i="2"/>
  <c r="W63" i="2"/>
  <c r="W46" i="2"/>
  <c r="W17" i="2"/>
  <c r="W41" i="2"/>
  <c r="W72" i="2"/>
  <c r="W24" i="2"/>
  <c r="W89" i="2"/>
  <c r="W100" i="2"/>
  <c r="W82" i="2"/>
  <c r="W11" i="2"/>
  <c r="W62" i="2"/>
  <c r="W25" i="2"/>
  <c r="W40" i="2"/>
  <c r="W83" i="2"/>
  <c r="P50" i="2"/>
  <c r="W50" i="2"/>
  <c r="P55" i="2"/>
  <c r="W55" i="2"/>
  <c r="P69" i="2"/>
  <c r="W69" i="2"/>
  <c r="P75" i="2"/>
  <c r="W75" i="2"/>
  <c r="P101" i="2"/>
  <c r="W101" i="2"/>
  <c r="P97" i="2"/>
  <c r="W97" i="2"/>
  <c r="E21" i="3"/>
  <c r="W22" i="2"/>
  <c r="P15" i="2"/>
  <c r="W15" i="2"/>
  <c r="P51" i="2"/>
  <c r="M29" i="2"/>
  <c r="N29" i="2" s="1"/>
  <c r="P26" i="2"/>
  <c r="S26" i="2" s="1"/>
  <c r="M23" i="2"/>
  <c r="N23" i="2" s="1"/>
  <c r="E97" i="3"/>
  <c r="G97" i="3" s="1"/>
  <c r="Q88" i="2" s="1"/>
  <c r="E112" i="3"/>
  <c r="E122" i="3"/>
  <c r="P64" i="2"/>
  <c r="S64" i="2" s="1"/>
  <c r="E80" i="3"/>
  <c r="E154" i="3"/>
  <c r="P78" i="2"/>
  <c r="S78" i="2" s="1"/>
  <c r="P56" i="2"/>
  <c r="S56" i="2" s="1"/>
  <c r="E25" i="3"/>
  <c r="E30" i="3" s="1"/>
  <c r="P57" i="2"/>
  <c r="S57" i="2" s="1"/>
  <c r="E111" i="3"/>
  <c r="E121" i="3"/>
  <c r="E79" i="3"/>
  <c r="G79" i="3" s="1"/>
  <c r="P67" i="2"/>
  <c r="S67" i="2" s="1"/>
  <c r="E24" i="3"/>
  <c r="P13" i="2"/>
  <c r="P21" i="2"/>
  <c r="S21" i="2" s="1"/>
  <c r="E20" i="3"/>
  <c r="P103" i="2"/>
  <c r="S103" i="2" s="1"/>
  <c r="E63" i="3"/>
  <c r="P47" i="2"/>
  <c r="P48" i="2"/>
  <c r="E160" i="3"/>
  <c r="P83" i="2"/>
  <c r="S83" i="2" s="1"/>
  <c r="P17" i="2"/>
  <c r="S17" i="2" s="1"/>
  <c r="E16" i="3"/>
  <c r="P27" i="2"/>
  <c r="S27" i="2" s="1"/>
  <c r="E9" i="3"/>
  <c r="P65" i="2"/>
  <c r="S65" i="2" s="1"/>
  <c r="P74" i="2"/>
  <c r="S74" i="2" s="1"/>
  <c r="P96" i="2"/>
  <c r="S96" i="2" s="1"/>
  <c r="P39" i="2"/>
  <c r="P45" i="2"/>
  <c r="E85" i="3"/>
  <c r="P79" i="2"/>
  <c r="S79" i="2" s="1"/>
  <c r="P99" i="2"/>
  <c r="S99" i="2" s="1"/>
  <c r="E123" i="3"/>
  <c r="E113" i="3"/>
  <c r="P66" i="2"/>
  <c r="S66" i="2" s="1"/>
  <c r="E81" i="3"/>
  <c r="G81" i="3" s="1"/>
  <c r="P42" i="2"/>
  <c r="P76" i="2"/>
  <c r="S76" i="2" s="1"/>
  <c r="E82" i="3"/>
  <c r="G82" i="3" s="1"/>
  <c r="P46" i="2"/>
  <c r="P59" i="2"/>
  <c r="S59" i="2" s="1"/>
  <c r="P102" i="2"/>
  <c r="S102" i="2" s="1"/>
  <c r="E19" i="3"/>
  <c r="P20" i="2"/>
  <c r="S20" i="2" s="1"/>
  <c r="P85" i="2"/>
  <c r="S85" i="2" s="1"/>
  <c r="E91" i="3"/>
  <c r="P63" i="2"/>
  <c r="S63" i="2" s="1"/>
  <c r="E100" i="3"/>
  <c r="P91" i="2"/>
  <c r="S91" i="2" s="1"/>
  <c r="P98" i="2"/>
  <c r="S98" i="2" s="1"/>
  <c r="E166" i="3"/>
  <c r="E152" i="3"/>
  <c r="E158" i="3" s="1"/>
  <c r="P77" i="2"/>
  <c r="S77" i="2" s="1"/>
  <c r="P90" i="2"/>
  <c r="S90" i="2" s="1"/>
  <c r="E99" i="3"/>
  <c r="P68" i="2"/>
  <c r="S68" i="2" s="1"/>
  <c r="P81" i="2"/>
  <c r="S81" i="2" s="1"/>
  <c r="E87" i="3"/>
  <c r="P19" i="2"/>
  <c r="S19" i="2" s="1"/>
  <c r="E18" i="3"/>
  <c r="E64" i="3"/>
  <c r="P104" i="2"/>
  <c r="S104" i="2" s="1"/>
  <c r="P73" i="2"/>
  <c r="S73" i="2" s="1"/>
  <c r="P11" i="2"/>
  <c r="E12" i="3"/>
  <c r="P44" i="2"/>
  <c r="K106" i="2"/>
  <c r="L37" i="2"/>
  <c r="P89" i="2"/>
  <c r="S89" i="2" s="1"/>
  <c r="E98" i="3"/>
  <c r="P38" i="2"/>
  <c r="P61" i="2"/>
  <c r="S61" i="2" s="1"/>
  <c r="P54" i="2"/>
  <c r="S54" i="2" s="1"/>
  <c r="P88" i="2"/>
  <c r="S88" i="2" s="1"/>
  <c r="P53" i="2"/>
  <c r="S53" i="2" s="1"/>
  <c r="E14" i="3"/>
  <c r="P14" i="2"/>
  <c r="S14" i="2" s="1"/>
  <c r="P58" i="2"/>
  <c r="S58" i="2" s="1"/>
  <c r="P95" i="2"/>
  <c r="S95" i="2" s="1"/>
  <c r="E108" i="3"/>
  <c r="E118" i="3"/>
  <c r="E76" i="3"/>
  <c r="G76" i="3" s="1"/>
  <c r="P40" i="2"/>
  <c r="P28" i="2"/>
  <c r="S28" i="2" s="1"/>
  <c r="P22" i="2"/>
  <c r="S22" i="2" s="1"/>
  <c r="P100" i="2"/>
  <c r="S100" i="2" s="1"/>
  <c r="P62" i="2"/>
  <c r="S62" i="2" s="1"/>
  <c r="K32" i="2"/>
  <c r="I118" i="2" s="1"/>
  <c r="P41" i="2"/>
  <c r="P18" i="2"/>
  <c r="S18" i="2" s="1"/>
  <c r="E17" i="3"/>
  <c r="E15" i="3"/>
  <c r="P16" i="2"/>
  <c r="S16" i="2" s="1"/>
  <c r="P70" i="2"/>
  <c r="S70" i="2" s="1"/>
  <c r="P92" i="2"/>
  <c r="S92" i="2" s="1"/>
  <c r="E89" i="3"/>
  <c r="P84" i="2"/>
  <c r="S84" i="2" s="1"/>
  <c r="P60" i="2"/>
  <c r="S60" i="2" s="1"/>
  <c r="P24" i="2"/>
  <c r="S24" i="2" s="1"/>
  <c r="E36" i="3"/>
  <c r="P52" i="2"/>
  <c r="S52" i="2" s="1"/>
  <c r="P49" i="2"/>
  <c r="E110" i="3"/>
  <c r="E120" i="3"/>
  <c r="E78" i="3"/>
  <c r="G78" i="3" s="1"/>
  <c r="E41" i="3"/>
  <c r="P25" i="2"/>
  <c r="S25" i="2" s="1"/>
  <c r="P82" i="2"/>
  <c r="S82" i="2" s="1"/>
  <c r="E88" i="3"/>
  <c r="P87" i="2"/>
  <c r="S87" i="2" s="1"/>
  <c r="E96" i="3"/>
  <c r="E86" i="3"/>
  <c r="P80" i="2"/>
  <c r="S80" i="2" s="1"/>
  <c r="E92" i="3"/>
  <c r="E103" i="3" s="1"/>
  <c r="P86" i="2"/>
  <c r="S86" i="2" s="1"/>
  <c r="E77" i="3"/>
  <c r="G77" i="3" s="1"/>
  <c r="E109" i="3"/>
  <c r="E119" i="3"/>
  <c r="P43" i="2"/>
  <c r="E124" i="3"/>
  <c r="E114" i="3"/>
  <c r="P71" i="2"/>
  <c r="S71" i="2" s="1"/>
  <c r="P93" i="2"/>
  <c r="S93" i="2" s="1"/>
  <c r="E127" i="3"/>
  <c r="E129" i="3" s="1"/>
  <c r="P94" i="2"/>
  <c r="S94" i="2" s="1"/>
  <c r="P72" i="2"/>
  <c r="S72" i="2" s="1"/>
  <c r="E136" i="3" l="1"/>
  <c r="E144" i="3" s="1"/>
  <c r="G144" i="3" s="1"/>
  <c r="E131" i="3"/>
  <c r="S45" i="2"/>
  <c r="T45" i="2" s="1"/>
  <c r="S51" i="2"/>
  <c r="T51" i="2" s="1"/>
  <c r="S101" i="2"/>
  <c r="T101" i="2" s="1"/>
  <c r="S50" i="2"/>
  <c r="T50" i="2" s="1"/>
  <c r="S46" i="2"/>
  <c r="T46" i="2" s="1"/>
  <c r="S39" i="2"/>
  <c r="T39" i="2" s="1"/>
  <c r="S41" i="2"/>
  <c r="T41" i="2" s="1"/>
  <c r="S42" i="2"/>
  <c r="T42" i="2" s="1"/>
  <c r="S47" i="2"/>
  <c r="T47" i="2" s="1"/>
  <c r="S69" i="2"/>
  <c r="T69" i="2" s="1"/>
  <c r="S43" i="2"/>
  <c r="T43" i="2" s="1"/>
  <c r="S40" i="2"/>
  <c r="T40" i="2" s="1"/>
  <c r="S38" i="2"/>
  <c r="T38" i="2" s="1"/>
  <c r="S97" i="2"/>
  <c r="T97" i="2" s="1"/>
  <c r="S75" i="2"/>
  <c r="T75" i="2" s="1"/>
  <c r="S55" i="2"/>
  <c r="T55" i="2" s="1"/>
  <c r="S49" i="2"/>
  <c r="T49" i="2" s="1"/>
  <c r="S44" i="2"/>
  <c r="T44" i="2" s="1"/>
  <c r="S48" i="2"/>
  <c r="T48" i="2" s="1"/>
  <c r="T30" i="2"/>
  <c r="S11" i="2"/>
  <c r="T11" i="2" s="1"/>
  <c r="S13" i="2"/>
  <c r="T13" i="2" s="1"/>
  <c r="S15" i="2"/>
  <c r="T15" i="2" s="1"/>
  <c r="P12" i="2"/>
  <c r="W29" i="2"/>
  <c r="E29" i="3"/>
  <c r="E44" i="3" s="1"/>
  <c r="G44" i="3" s="1"/>
  <c r="E23" i="3"/>
  <c r="G46" i="3"/>
  <c r="G45" i="3"/>
  <c r="G129" i="3"/>
  <c r="G80" i="3"/>
  <c r="E90" i="3"/>
  <c r="E101" i="3" s="1"/>
  <c r="E31" i="3"/>
  <c r="E28" i="3"/>
  <c r="G28" i="3" s="1"/>
  <c r="E43" i="3"/>
  <c r="E128" i="3" s="1"/>
  <c r="G30" i="3"/>
  <c r="E22" i="3"/>
  <c r="W23" i="2"/>
  <c r="K108" i="2"/>
  <c r="T71" i="2"/>
  <c r="T92" i="2"/>
  <c r="T77" i="2"/>
  <c r="T83" i="2"/>
  <c r="T103" i="2"/>
  <c r="T88" i="2"/>
  <c r="U88" i="2"/>
  <c r="T86" i="2"/>
  <c r="T87" i="2"/>
  <c r="T73" i="2"/>
  <c r="T85" i="2"/>
  <c r="T76" i="2"/>
  <c r="T95" i="2"/>
  <c r="T74" i="2"/>
  <c r="T70" i="2"/>
  <c r="T81" i="2"/>
  <c r="T98" i="2"/>
  <c r="T102" i="2"/>
  <c r="T99" i="2"/>
  <c r="T90" i="2"/>
  <c r="T94" i="2"/>
  <c r="T82" i="2"/>
  <c r="T104" i="2"/>
  <c r="T96" i="2"/>
  <c r="T80" i="2"/>
  <c r="T100" i="2"/>
  <c r="T91" i="2"/>
  <c r="T79" i="2"/>
  <c r="T84" i="2"/>
  <c r="T89" i="2"/>
  <c r="T72" i="2"/>
  <c r="T93" i="2"/>
  <c r="T78" i="2"/>
  <c r="T58" i="2"/>
  <c r="T54" i="2"/>
  <c r="T65" i="2"/>
  <c r="T67" i="2"/>
  <c r="T62" i="2"/>
  <c r="T61" i="2"/>
  <c r="T64" i="2"/>
  <c r="T63" i="2"/>
  <c r="T60" i="2"/>
  <c r="T68" i="2"/>
  <c r="T59" i="2"/>
  <c r="T56" i="2"/>
  <c r="T57" i="2"/>
  <c r="T52" i="2"/>
  <c r="T53" i="2"/>
  <c r="T66" i="2"/>
  <c r="T24" i="2"/>
  <c r="T14" i="2"/>
  <c r="T16" i="2"/>
  <c r="T27" i="2"/>
  <c r="T21" i="2"/>
  <c r="T25" i="2"/>
  <c r="T22" i="2"/>
  <c r="T20" i="2"/>
  <c r="T18" i="2"/>
  <c r="T28" i="2"/>
  <c r="T19" i="2"/>
  <c r="T17" i="2"/>
  <c r="P29" i="2"/>
  <c r="S29" i="2" s="1"/>
  <c r="T26" i="2"/>
  <c r="P23" i="2"/>
  <c r="S23" i="2" s="1"/>
  <c r="G109" i="3"/>
  <c r="G86" i="3"/>
  <c r="Q80" i="2" s="1"/>
  <c r="U80" i="2" s="1"/>
  <c r="G89" i="3"/>
  <c r="Q84" i="2" s="1"/>
  <c r="U84" i="2" s="1"/>
  <c r="G17" i="3"/>
  <c r="Q18" i="2" s="1"/>
  <c r="U18" i="2" s="1"/>
  <c r="G21" i="3"/>
  <c r="Q22" i="2" s="1"/>
  <c r="U22" i="2" s="1"/>
  <c r="G108" i="3"/>
  <c r="E37" i="3"/>
  <c r="G12" i="3"/>
  <c r="G18" i="3"/>
  <c r="Q19" i="2" s="1"/>
  <c r="U19" i="2" s="1"/>
  <c r="G100" i="3"/>
  <c r="Q91" i="2" s="1"/>
  <c r="U91" i="2" s="1"/>
  <c r="G158" i="3"/>
  <c r="Q69" i="2"/>
  <c r="U69" i="2" s="1"/>
  <c r="G85" i="3"/>
  <c r="Q79" i="2" s="1"/>
  <c r="U79" i="2" s="1"/>
  <c r="G96" i="3"/>
  <c r="Q87" i="2" s="1"/>
  <c r="U87" i="2" s="1"/>
  <c r="G41" i="3"/>
  <c r="L32" i="2"/>
  <c r="M10" i="2"/>
  <c r="N10" i="2" s="1"/>
  <c r="G98" i="3"/>
  <c r="Q89" i="2" s="1"/>
  <c r="U89" i="2" s="1"/>
  <c r="G99" i="3"/>
  <c r="Q90" i="2" s="1"/>
  <c r="U90" i="2" s="1"/>
  <c r="G16" i="3"/>
  <c r="G111" i="3"/>
  <c r="G36" i="3"/>
  <c r="Q24" i="2" s="1"/>
  <c r="U24" i="2" s="1"/>
  <c r="G153" i="3"/>
  <c r="E159" i="3"/>
  <c r="G113" i="3"/>
  <c r="E50" i="3"/>
  <c r="E51" i="3"/>
  <c r="E49" i="3"/>
  <c r="G63" i="3"/>
  <c r="Q103" i="2" s="1"/>
  <c r="U103" i="2" s="1"/>
  <c r="G24" i="3"/>
  <c r="E167" i="3"/>
  <c r="E172" i="3"/>
  <c r="E175" i="3"/>
  <c r="G154" i="3"/>
  <c r="Q78" i="2" s="1"/>
  <c r="U78" i="2" s="1"/>
  <c r="G88" i="3"/>
  <c r="Q82" i="2" s="1"/>
  <c r="U82" i="2" s="1"/>
  <c r="G120" i="3"/>
  <c r="G91" i="3"/>
  <c r="Q85" i="2" s="1"/>
  <c r="U85" i="2" s="1"/>
  <c r="E102" i="3"/>
  <c r="G19" i="3"/>
  <c r="Q20" i="2" s="1"/>
  <c r="U20" i="2" s="1"/>
  <c r="Q75" i="2"/>
  <c r="U75" i="2" s="1"/>
  <c r="G123" i="3"/>
  <c r="G114" i="3"/>
  <c r="G110" i="3"/>
  <c r="G103" i="3"/>
  <c r="G87" i="3"/>
  <c r="Q81" i="2" s="1"/>
  <c r="U81" i="2" s="1"/>
  <c r="G124" i="3"/>
  <c r="G92" i="3"/>
  <c r="Q86" i="2" s="1"/>
  <c r="U86" i="2" s="1"/>
  <c r="I119" i="2"/>
  <c r="G152" i="3"/>
  <c r="Q77" i="2" s="1"/>
  <c r="U77" i="2" s="1"/>
  <c r="E155" i="3"/>
  <c r="E165" i="3"/>
  <c r="E38" i="3"/>
  <c r="G9" i="3"/>
  <c r="E40" i="3"/>
  <c r="E39" i="3"/>
  <c r="G160" i="3"/>
  <c r="Q83" i="2" s="1"/>
  <c r="U83" i="2" s="1"/>
  <c r="G20" i="3"/>
  <c r="G25" i="3"/>
  <c r="M37" i="2"/>
  <c r="L106" i="2"/>
  <c r="G118" i="3"/>
  <c r="G122" i="3"/>
  <c r="G127" i="3"/>
  <c r="E134" i="3"/>
  <c r="E140" i="3"/>
  <c r="E142" i="3"/>
  <c r="G119" i="3"/>
  <c r="G15" i="3"/>
  <c r="G14" i="3"/>
  <c r="G64" i="3"/>
  <c r="Q104" i="2" s="1"/>
  <c r="U104" i="2" s="1"/>
  <c r="G121" i="3"/>
  <c r="G112" i="3"/>
  <c r="E135" i="3" l="1"/>
  <c r="E143" i="3" s="1"/>
  <c r="G143" i="3" s="1"/>
  <c r="E130" i="3"/>
  <c r="G136" i="3"/>
  <c r="T29" i="2"/>
  <c r="S12" i="2"/>
  <c r="T12" i="2" s="1"/>
  <c r="G90" i="3"/>
  <c r="G29" i="3"/>
  <c r="G31" i="3"/>
  <c r="G128" i="3"/>
  <c r="G130" i="3" s="1"/>
  <c r="G131" i="3" s="1"/>
  <c r="G43" i="3"/>
  <c r="Q21" i="2"/>
  <c r="U21" i="2" s="1"/>
  <c r="Q12" i="2"/>
  <c r="U12" i="2" s="1"/>
  <c r="Q13" i="2"/>
  <c r="Q17" i="2"/>
  <c r="U17" i="2" s="1"/>
  <c r="Q11" i="2"/>
  <c r="U11" i="2" s="1"/>
  <c r="Q97" i="2"/>
  <c r="U97" i="2" s="1"/>
  <c r="Q101" i="2"/>
  <c r="U101" i="2" s="1"/>
  <c r="Q51" i="2"/>
  <c r="U51" i="2" s="1"/>
  <c r="Q55" i="2"/>
  <c r="U55" i="2" s="1"/>
  <c r="T23" i="2"/>
  <c r="Q25" i="2"/>
  <c r="U25" i="2" s="1"/>
  <c r="Q26" i="2"/>
  <c r="U26" i="2" s="1"/>
  <c r="L108" i="2"/>
  <c r="Q14" i="2"/>
  <c r="U14" i="2" s="1"/>
  <c r="Q15" i="2"/>
  <c r="U15" i="2" s="1"/>
  <c r="Q16" i="2"/>
  <c r="U16" i="2" s="1"/>
  <c r="Q41" i="2"/>
  <c r="U41" i="2" s="1"/>
  <c r="Q42" i="2"/>
  <c r="U42" i="2" s="1"/>
  <c r="Q40" i="2"/>
  <c r="U40" i="2" s="1"/>
  <c r="G165" i="3"/>
  <c r="G38" i="3"/>
  <c r="Q74" i="2"/>
  <c r="U74" i="2" s="1"/>
  <c r="Q72" i="2"/>
  <c r="U72" i="2" s="1"/>
  <c r="Q76" i="2"/>
  <c r="U76" i="2" s="1"/>
  <c r="Q71" i="2"/>
  <c r="U71" i="2" s="1"/>
  <c r="Q73" i="2"/>
  <c r="U73" i="2" s="1"/>
  <c r="G166" i="3"/>
  <c r="Q56" i="2"/>
  <c r="U56" i="2" s="1"/>
  <c r="Q50" i="2"/>
  <c r="U50" i="2" s="1"/>
  <c r="Q52" i="2"/>
  <c r="U52" i="2" s="1"/>
  <c r="Q54" i="2"/>
  <c r="U54" i="2" s="1"/>
  <c r="Q53" i="2"/>
  <c r="U53" i="2" s="1"/>
  <c r="Q49" i="2"/>
  <c r="U49" i="2" s="1"/>
  <c r="Q46" i="2"/>
  <c r="U46" i="2" s="1"/>
  <c r="Q48" i="2"/>
  <c r="U48" i="2" s="1"/>
  <c r="Q47" i="2"/>
  <c r="U47" i="2" s="1"/>
  <c r="Q43" i="2"/>
  <c r="U43" i="2" s="1"/>
  <c r="Q45" i="2"/>
  <c r="U45" i="2" s="1"/>
  <c r="Q44" i="2"/>
  <c r="U44" i="2" s="1"/>
  <c r="G37" i="3"/>
  <c r="G39" i="3"/>
  <c r="E161" i="3"/>
  <c r="G161" i="3" s="1"/>
  <c r="E168" i="3"/>
  <c r="G155" i="3"/>
  <c r="G159" i="3"/>
  <c r="W10" i="2"/>
  <c r="M32" i="2"/>
  <c r="N37" i="2"/>
  <c r="W37" i="2" s="1"/>
  <c r="M106" i="2"/>
  <c r="G49" i="3"/>
  <c r="Q29" i="2" s="1"/>
  <c r="U29" i="2" s="1"/>
  <c r="G40" i="3"/>
  <c r="Q27" i="2"/>
  <c r="U27" i="2" s="1"/>
  <c r="Q28" i="2"/>
  <c r="U28" i="2" s="1"/>
  <c r="G102" i="3"/>
  <c r="G175" i="3"/>
  <c r="G51" i="3"/>
  <c r="G101" i="3"/>
  <c r="G22" i="3"/>
  <c r="Q23" i="2" s="1"/>
  <c r="U23" i="2" s="1"/>
  <c r="Q98" i="2"/>
  <c r="U98" i="2" s="1"/>
  <c r="Q99" i="2"/>
  <c r="U99" i="2" s="1"/>
  <c r="Q94" i="2"/>
  <c r="U94" i="2" s="1"/>
  <c r="Q100" i="2"/>
  <c r="U100" i="2" s="1"/>
  <c r="Q93" i="2"/>
  <c r="U93" i="2" s="1"/>
  <c r="Q95" i="2"/>
  <c r="U95" i="2" s="1"/>
  <c r="Q96" i="2"/>
  <c r="U96" i="2" s="1"/>
  <c r="G142" i="3"/>
  <c r="Q92" i="2" s="1"/>
  <c r="U92" i="2" s="1"/>
  <c r="Q64" i="2"/>
  <c r="U64" i="2" s="1"/>
  <c r="Q65" i="2"/>
  <c r="U65" i="2" s="1"/>
  <c r="Q66" i="2"/>
  <c r="U66" i="2" s="1"/>
  <c r="Q68" i="2"/>
  <c r="U68" i="2" s="1"/>
  <c r="Q67" i="2"/>
  <c r="U67" i="2" s="1"/>
  <c r="Q70" i="2"/>
  <c r="U70" i="2" s="1"/>
  <c r="G134" i="3"/>
  <c r="Q60" i="2"/>
  <c r="U60" i="2" s="1"/>
  <c r="Q62" i="2"/>
  <c r="U62" i="2" s="1"/>
  <c r="Q57" i="2"/>
  <c r="U57" i="2" s="1"/>
  <c r="Q59" i="2"/>
  <c r="U59" i="2" s="1"/>
  <c r="Q63" i="2"/>
  <c r="U63" i="2" s="1"/>
  <c r="Q58" i="2"/>
  <c r="U58" i="2" s="1"/>
  <c r="Q61" i="2"/>
  <c r="U61" i="2" s="1"/>
  <c r="G172" i="3"/>
  <c r="G50" i="3"/>
  <c r="Q30" i="2" s="1"/>
  <c r="I120" i="2"/>
  <c r="K119" i="2" s="1"/>
  <c r="G140" i="3"/>
  <c r="Q102" i="2" s="1"/>
  <c r="U102" i="2" s="1"/>
  <c r="G23" i="3"/>
  <c r="G167" i="3"/>
  <c r="G135" i="3" l="1"/>
  <c r="G137" i="3" s="1"/>
  <c r="G138" i="3" s="1"/>
  <c r="N106" i="2"/>
  <c r="G145" i="3"/>
  <c r="E145" i="3" s="1"/>
  <c r="M108" i="2"/>
  <c r="G168" i="3"/>
  <c r="E75" i="3"/>
  <c r="G75" i="3" s="1"/>
  <c r="P37" i="2"/>
  <c r="P10" i="2"/>
  <c r="E13" i="3"/>
  <c r="K118" i="2"/>
  <c r="K120" i="2" s="1"/>
  <c r="S37" i="2" l="1"/>
  <c r="T37" i="2" s="1"/>
  <c r="S10" i="2"/>
  <c r="T10" i="2" s="1"/>
  <c r="G146" i="3"/>
  <c r="E146" i="3" s="1"/>
  <c r="E27" i="3"/>
  <c r="G13" i="3"/>
  <c r="T106" i="2" l="1"/>
  <c r="P112" i="2" s="1"/>
  <c r="Q112" i="2" s="1"/>
  <c r="T32" i="2"/>
  <c r="P111" i="2" s="1"/>
  <c r="Q111" i="2" s="1"/>
  <c r="S106" i="2"/>
  <c r="S32" i="2"/>
  <c r="G27" i="3"/>
  <c r="Q10" i="2"/>
  <c r="Q39" i="2"/>
  <c r="U39" i="2" s="1"/>
  <c r="Q38" i="2"/>
  <c r="U38" i="2" s="1"/>
  <c r="Q37" i="2"/>
  <c r="U37" i="2" s="1"/>
  <c r="G60" i="3"/>
  <c r="G58" i="3"/>
  <c r="G59" i="3"/>
  <c r="G57" i="3"/>
  <c r="G55" i="3"/>
  <c r="G56" i="3"/>
  <c r="T108" i="2" l="1"/>
  <c r="T109" i="2" s="1"/>
  <c r="S108" i="2"/>
  <c r="P113" i="2"/>
  <c r="P114" i="2" s="1"/>
  <c r="G6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tc={D857E9A4-FEB5-411F-9C1C-1EC4943F4EE1}</author>
  </authors>
  <commentList>
    <comment ref="F74" authorId="0" shapeId="0" xr:uid="{D857E9A4-FEB5-411F-9C1C-1EC4943F4EE1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0.004275. Current rate charged for WUTC fees is 0.005100.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tc={8D26E76B-1FD2-4797-8F5F-F466E04E7416}</author>
    <author>tc={16A28872-6AB5-4FCB-94E2-F5DB1CCAC9E6}</author>
    <author>tc={40F17BD3-D461-4789-9A70-B5A9B22C220D}</author>
    <author>tc={B069D787-5942-4848-96DE-0D2E16C792B6}</author>
    <author>tc={B5AD7530-E757-4D3A-9488-D5036E48DD1E}</author>
    <author>tc={11AB4AD8-57FB-4C80-9728-48E8103210BB}</author>
    <author>tc={56CFCECD-7FDE-4CBD-92EA-75AE1D9DEDD0}</author>
    <author>tc={6E5BBD81-9AD1-46CF-AF49-757FF5E0A15F}</author>
    <author>tc={B6C4AE13-2D21-4816-A7DB-83E74AA09105}</author>
    <author>tc={D85D0255-8911-4D6E-8E1A-C99518FD33DB}</author>
    <author>tc={3F338211-B328-4C02-940E-8DF13A159C45}</author>
    <author>tc={2F9406A2-3CD3-42B5-8AA9-77C8A31F2071}</author>
    <author>Lindsay Waldram</author>
    <author>tc={D16FD654-877D-4426-9D2A-AA851BCF295F}</author>
    <author>tc={A042DB09-F4E4-4554-BA11-6F9BD59FB66E}</author>
    <author>Heather Garland</author>
    <author>tc={C4C1D14F-D15F-4C04-96F8-95533C8139A7}</author>
    <author>tc={E04595A6-0534-48A8-A0E6-300B738548FB}</author>
    <author>tc={EB99149B-FF3B-4537-AF16-676597DDE0C2}</author>
    <author>tc={F3B6E630-3795-4104-A742-609995138D1A}</author>
    <author>tc={48BBAF73-6023-422B-AD17-7BBF627C4ACA}</author>
    <author>tc={557D4684-9C54-4385-A856-ACE9AE8B2E7A}</author>
    <author>tc={F5254447-63AA-43C9-879F-8B028020F0AB}</author>
    <author>tc={24350187-239E-4399-9D69-D54BC4881574}</author>
    <author>tc={1077BA47-9241-4662-8B44-7970782C944F}</author>
    <author>tc={8C40457A-2BC1-40E4-A1C5-63E8FE556BA7}</author>
    <author>tc={94281E7E-C835-436A-91F9-5359B99DBE15}</author>
    <author>tc={AABA27AD-F4B6-42BE-A7A4-8D8CDDAF8300}</author>
    <author>tc={65A0BF4A-B7BC-4FEA-A838-CC13BD54EA15}</author>
    <author>tc={412FAFAB-88CD-4987-8F61-AB173DAD1C04}</author>
    <author>tc={A429EAEB-6318-4733-88B3-15A1B418ADF3}</author>
    <author>tc={A664DFB1-000D-443B-99FA-B1CD139A29C7}</author>
    <author>tc={84048FB4-9F04-4641-9F2A-8F0D14EECA03}</author>
    <author>tc={72241BC6-9CAC-42DC-B812-470D55F42011}</author>
    <author>tc={15486181-DB41-4334-A281-497BE2F3B4C8}</author>
    <author>tc={106F04CF-862A-49F9-AAAA-A64DC409DDFC}</author>
    <author>tc={E91B301F-9B22-48B7-91B3-A94F9E97129F}</author>
    <author>tc={53B34EF9-6712-4215-BC05-02AEC575D6AA}</author>
    <author>tc={C3174D71-5E8E-42CF-96A1-35B3AA274121}</author>
    <author>tc={E92FC482-8D37-40DD-9C32-F0C719A22128}</author>
    <author>tc={C8CD74BB-C146-4D7E-99D4-D05C5DEEF467}</author>
    <author>tc={DDA798F5-2DDB-413B-A5AE-597AA7FD77EA}</author>
    <author>tc={5A9F69C2-5C1F-4DB2-904E-4DF15FCD6F97}</author>
    <author>tc={99371E00-729E-46D6-8153-B70CDBCD3D47}</author>
    <author>tc={A74A826C-F13D-4B41-80FF-2F008BCF15C1}</author>
    <author>tc={DAAF80AB-4255-483B-8C42-3E44BE51771C}</author>
    <author>tc={674AC90C-AC9C-48D1-8846-D3348DDCC5A2}</author>
    <author>tc={7D8182A4-E4E7-4A9F-9789-1C3B4DF84458}</author>
    <author>tc={946DC9EF-9811-4F53-AE7E-2B749F62B314}</author>
    <author>tc={C0615D51-B0A1-46C1-968A-465B6DB5AF2D}</author>
    <author>tc={CA6A34C7-AB15-400E-A32D-D32747212338}</author>
    <author>tc={20FBC187-FB5F-4E18-9033-796069F16FEE}</author>
    <author>tc={653905D4-2FC8-4078-AC37-D9C94E45841A}</author>
    <author>tc={62A3C397-1617-4E69-8B70-E81FEB9959D6}</author>
    <author>tc={086CEFF1-3DDF-46A5-9DEA-9A3BB1E65D11}</author>
    <author>tc={827B3D83-5F88-4BAD-AD99-C431687450E7}</author>
    <author>tc={F796B135-953B-4F2E-8F48-BA43CAD2F63E}</author>
    <author>tc={EC84B4D7-C889-491F-8F68-56A78A90D40A}</author>
    <author>tc={704010BA-C3B6-4AC2-99F2-0CC3AEC72F70}</author>
    <author>tc={32DF1D66-66CB-4416-BF74-8D9530A69AD1}</author>
    <author>tc={9995ADF2-B452-4F09-A2A1-D05682E2CCDD}</author>
    <author>tc={33FD54D5-BE37-49A1-AF14-15279DA0250B}</author>
    <author>tc={E5C0D40A-2743-429B-8F8B-2C0AC4CF6FBD}</author>
    <author>tc={22E8138B-4C5F-4ABD-AE83-1ED04FF6B4E3}</author>
    <author>tc={B9E79830-BAEB-4689-AD8D-C90FE85834E8}</author>
    <author>tc={8A9F7ADA-8B9B-4B26-96EF-2BA42652A3F7}</author>
    <author>tc={954F4E5A-C95E-458F-BAAF-9BD02EF2E3CA}</author>
    <author>tc={3DEF39E2-B1AB-4459-AFEB-60D99C52359B}</author>
    <author>tc={052F0686-6DC1-4454-A15D-2AB3B84D634F}</author>
    <author>tc={202A5EE6-9C1D-4818-8602-35A2E548DB7F}</author>
    <author>tc={681472ED-4A98-4880-96C3-E79293DB9243}</author>
    <author>tc={552700F8-AE7E-4979-8BB7-A0F0C1C21460}</author>
    <author>tc={97C5353E-8561-465D-AEFE-BDAA14231051}</author>
    <author>tc={A32D7669-FCD6-425D-BF23-918157140F46}</author>
    <author>tc={A2D7EE5F-39BE-4BB3-A054-4F6C87713E18}</author>
    <author>tc={5B72C5D1-7942-4614-98FB-F94C3A9E920D}</author>
    <author>tc={3621FF39-6918-4F05-A820-A1588172BC81}</author>
    <author>tc={75DEAEE0-29AF-4F63-AE68-88AEF9835DC9}</author>
    <author>tc={2700A2A4-2E5E-4040-AAE2-D40C85930D2A}</author>
    <author>tc={CE17081D-942B-4C5F-9185-D470F3FDFED1}</author>
    <author>tc={4B4A6E47-344D-4B2C-96E3-976EE70D12F3}</author>
    <author>tc={C2FC4FB6-33BD-40FE-A449-E0796B2462EF}</author>
    <author>tc={5EDFBF2E-559D-4971-8D17-DD4D53CC23A7}</author>
    <author>tc={01BAFC55-2AD9-4777-ADE5-116FE9469330}</author>
    <author>tc={2C84A696-D98C-4814-A863-D0974095F08C}</author>
    <author>tc={4A410F09-1A3F-4CD3-BD97-D97A87738643}</author>
    <author>tc={11737ABA-6263-4667-B4A0-66A01B87D7BD}</author>
    <author>tc={411F8380-80F7-4CC3-A3E3-C7AB8308858C}</author>
    <author>tc={B4FEECDD-78B3-4D8C-962E-097D775A517F}</author>
    <author>tc={CEE536BD-31DC-4F15-B659-09B62E1C0292}</author>
    <author>tc={2FFCA777-5EEF-4B52-A1E1-C4DA9C7BDE5B}</author>
  </authors>
  <commentList>
    <comment ref="E10" authorId="0" shapeId="0" xr:uid="{8D26E76B-1FD2-4797-8F5F-F466E04E741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1" authorId="1" shapeId="0" xr:uid="{16A28872-6AB5-4FCB-94E2-F5DB1CCAC9E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2" authorId="2" shapeId="0" xr:uid="{40F17BD3-D461-4789-9A70-B5A9B22C220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3" authorId="3" shapeId="0" xr:uid="{B069D787-5942-4848-96DE-0D2E16C792B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4" authorId="4" shapeId="0" xr:uid="{B5AD7530-E757-4D3A-9488-D5036E48DD1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5" authorId="5" shapeId="0" xr:uid="{11AB4AD8-57FB-4C80-9728-48E8103210B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6" authorId="6" shapeId="0" xr:uid="{56CFCECD-7FDE-4CBD-92EA-75AE1D9DEDD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7" authorId="7" shapeId="0" xr:uid="{6E5BBD81-9AD1-46CF-AF49-757FF5E0A15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8" authorId="8" shapeId="0" xr:uid="{B6C4AE13-2D21-4816-A7DB-83E74AA0910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9" authorId="9" shapeId="0" xr:uid="{D85D0255-8911-4D6E-8E1A-C99518FD33D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0" authorId="10" shapeId="0" xr:uid="{3F338211-B328-4C02-940E-8DF13A159C4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1" authorId="11" shapeId="0" xr:uid="{2F9406A2-3CD3-42B5-8AA9-77C8A31F207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I21" authorId="12" shapeId="0" xr:uid="{00000000-0006-0000-0100-000001000000}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This service is not listed in the Meeks weight.  Used the % increase between 5 &amp; 6 cans to determine the step increase for 7 cans.</t>
        </r>
      </text>
    </comment>
    <comment ref="E22" authorId="13" shapeId="0" xr:uid="{D16FD654-877D-4426-9D2A-AA851BCF295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3" authorId="14" shapeId="0" xr:uid="{A042DB09-F4E4-4554-BA11-6F9BD59FB66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I23" authorId="15" shapeId="0" xr:uid="{00000000-0006-0000-0100-000002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From TG-220548</t>
        </r>
      </text>
    </comment>
    <comment ref="E24" authorId="16" shapeId="0" xr:uid="{C4C1D14F-D15F-4C04-96F8-95533C8139A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5" authorId="17" shapeId="0" xr:uid="{E04595A6-0534-48A8-A0E6-300B738548F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6" authorId="18" shapeId="0" xr:uid="{EB99149B-FF3B-4537-AF16-676597DDE0C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7" authorId="19" shapeId="0" xr:uid="{F3B6E630-3795-4104-A742-609995138D1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8" authorId="20" shapeId="0" xr:uid="{48BBAF73-6023-422B-AD17-7BBF627C4AC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9" authorId="21" shapeId="0" xr:uid="{557D4684-9C54-4385-A856-ACE9AE8B2E7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37" authorId="22" shapeId="0" xr:uid="{F5254447-63AA-43C9-879F-8B028020F0A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38" authorId="23" shapeId="0" xr:uid="{24350187-239E-4399-9D69-D54BC4881574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39" authorId="24" shapeId="0" xr:uid="{1077BA47-9241-4662-8B44-7970782C944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0" authorId="25" shapeId="0" xr:uid="{8C40457A-2BC1-40E4-A1C5-63E8FE556BA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1" authorId="26" shapeId="0" xr:uid="{94281E7E-C835-436A-91F9-5359B99DBE1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2" authorId="27" shapeId="0" xr:uid="{AABA27AD-F4B6-42BE-A7A4-8D8CDDAF830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3" authorId="28" shapeId="0" xr:uid="{65A0BF4A-B7BC-4FEA-A838-CC13BD54EA1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4" authorId="29" shapeId="0" xr:uid="{412FAFAB-88CD-4987-8F61-AB173DAD1C04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5" authorId="30" shapeId="0" xr:uid="{A429EAEB-6318-4733-88B3-15A1B418ADF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6" authorId="31" shapeId="0" xr:uid="{A664DFB1-000D-443B-99FA-B1CD139A29C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7" authorId="32" shapeId="0" xr:uid="{84048FB4-9F04-4641-9F2A-8F0D14EECA0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8" authorId="33" shapeId="0" xr:uid="{72241BC6-9CAC-42DC-B812-470D55F4201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9" authorId="34" shapeId="0" xr:uid="{15486181-DB41-4334-A281-497BE2F3B4C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0" authorId="35" shapeId="0" xr:uid="{106F04CF-862A-49F9-AAAA-A64DC409DDF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1" authorId="36" shapeId="0" xr:uid="{E91B301F-9B22-48B7-91B3-A94F9E97129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2" authorId="37" shapeId="0" xr:uid="{53B34EF9-6712-4215-BC05-02AEC575D6A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3" authorId="38" shapeId="0" xr:uid="{C3174D71-5E8E-42CF-96A1-35B3AA27412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4" authorId="39" shapeId="0" xr:uid="{E92FC482-8D37-40DD-9C32-F0C719A2212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5" authorId="40" shapeId="0" xr:uid="{C8CD74BB-C146-4D7E-99D4-D05C5DEEF46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6" authorId="41" shapeId="0" xr:uid="{DDA798F5-2DDB-413B-A5AE-597AA7FD77E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7" authorId="42" shapeId="0" xr:uid="{5A9F69C2-5C1F-4DB2-904E-4DF15FCD6F9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8" authorId="43" shapeId="0" xr:uid="{99371E00-729E-46D6-8153-B70CDBCD3D4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9" authorId="44" shapeId="0" xr:uid="{A74A826C-F13D-4B41-80FF-2F008BCF15C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0" authorId="45" shapeId="0" xr:uid="{DAAF80AB-4255-483B-8C42-3E44BE51771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1" authorId="46" shapeId="0" xr:uid="{674AC90C-AC9C-48D1-8846-D3348DDCC5A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2" authorId="47" shapeId="0" xr:uid="{7D8182A4-E4E7-4A9F-9789-1C3B4DF8445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3" authorId="48" shapeId="0" xr:uid="{946DC9EF-9811-4F53-AE7E-2B749F62B314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4" authorId="49" shapeId="0" xr:uid="{C0615D51-B0A1-46C1-968A-465B6DB5AF2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5" authorId="50" shapeId="0" xr:uid="{CA6A34C7-AB15-400E-A32D-D3274721233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6" authorId="51" shapeId="0" xr:uid="{20FBC187-FB5F-4E18-9033-796069F16FE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7" authorId="52" shapeId="0" xr:uid="{653905D4-2FC8-4078-AC37-D9C94E45841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8" authorId="53" shapeId="0" xr:uid="{62A3C397-1617-4E69-8B70-E81FEB9959D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9" authorId="54" shapeId="0" xr:uid="{086CEFF1-3DDF-46A5-9DEA-9A3BB1E65D1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0" authorId="55" shapeId="0" xr:uid="{827B3D83-5F88-4BAD-AD99-C431687450E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1" authorId="56" shapeId="0" xr:uid="{F796B135-953B-4F2E-8F48-BA43CAD2F63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2" authorId="57" shapeId="0" xr:uid="{EC84B4D7-C889-491F-8F68-56A78A90D40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3" authorId="58" shapeId="0" xr:uid="{704010BA-C3B6-4AC2-99F2-0CC3AEC72F7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4" authorId="59" shapeId="0" xr:uid="{32DF1D66-66CB-4416-BF74-8D9530A69AD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5" authorId="60" shapeId="0" xr:uid="{9995ADF2-B452-4F09-A2A1-D05682E2CCD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6" authorId="61" shapeId="0" xr:uid="{33FD54D5-BE37-49A1-AF14-15279DA0250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7" authorId="62" shapeId="0" xr:uid="{E5C0D40A-2743-429B-8F8B-2C0AC4CF6FB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8" authorId="63" shapeId="0" xr:uid="{22E8138B-4C5F-4ABD-AE83-1ED04FF6B4E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9" authorId="64" shapeId="0" xr:uid="{B9E79830-BAEB-4689-AD8D-C90FE85834E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0" authorId="65" shapeId="0" xr:uid="{8A9F7ADA-8B9B-4B26-96EF-2BA42652A3F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1" authorId="66" shapeId="0" xr:uid="{954F4E5A-C95E-458F-BAAF-9BD02EF2E3C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2" authorId="67" shapeId="0" xr:uid="{3DEF39E2-B1AB-4459-AFEB-60D99C52359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3" authorId="68" shapeId="0" xr:uid="{052F0686-6DC1-4454-A15D-2AB3B84D634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4" authorId="69" shapeId="0" xr:uid="{202A5EE6-9C1D-4818-8602-35A2E548DB7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5" authorId="70" shapeId="0" xr:uid="{681472ED-4A98-4880-96C3-E79293DB924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6" authorId="71" shapeId="0" xr:uid="{552700F8-AE7E-4979-8BB7-A0F0C1C2146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7" authorId="72" shapeId="0" xr:uid="{97C5353E-8561-465D-AEFE-BDAA1423105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8" authorId="73" shapeId="0" xr:uid="{A32D7669-FCD6-425D-BF23-918157140F4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9" authorId="74" shapeId="0" xr:uid="{A2D7EE5F-39BE-4BB3-A054-4F6C87713E1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0" authorId="75" shapeId="0" xr:uid="{5B72C5D1-7942-4614-98FB-F94C3A9E920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1" authorId="76" shapeId="0" xr:uid="{3621FF39-6918-4F05-A820-A1588172BC8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2" authorId="77" shapeId="0" xr:uid="{75DEAEE0-29AF-4F63-AE68-88AEF9835DC9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N92" authorId="78" shapeId="0" xr:uid="{2700A2A4-2E5E-4040-AAE2-D40C85930D2A}">
      <text>
        <t>[Threaded comment]
Your version of Excel allows you to read this threaded comment; however, any edits to it will get removed if the file is opened in a newer version of Excel. Learn more: https://go.microsoft.com/fwlink/?linkid=870924
Comment:
    Multiplied by monthly pickups to calculate increase in monthly bill minimum.</t>
      </text>
    </comment>
    <comment ref="E93" authorId="79" shapeId="0" xr:uid="{CE17081D-942B-4C5F-9185-D470F3FDFED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4" authorId="80" shapeId="0" xr:uid="{4B4A6E47-344D-4B2C-96E3-976EE70D12F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5" authorId="81" shapeId="0" xr:uid="{C2FC4FB6-33BD-40FE-A449-E0796B2462E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6" authorId="82" shapeId="0" xr:uid="{5EDFBF2E-559D-4971-8D17-DD4D53CC23A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7" authorId="83" shapeId="0" xr:uid="{01BAFC55-2AD9-4777-ADE5-116FE946933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8" authorId="84" shapeId="0" xr:uid="{2C84A696-D98C-4814-A863-D0974095F08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9" authorId="85" shapeId="0" xr:uid="{4A410F09-1A3F-4CD3-BD97-D97A8773864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0" authorId="86" shapeId="0" xr:uid="{11737ABA-6263-4667-B4A0-66A01B87D7B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1" authorId="87" shapeId="0" xr:uid="{411F8380-80F7-4CC3-A3E3-C7AB8308858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2" authorId="88" shapeId="0" xr:uid="{B4FEECDD-78B3-4D8C-962E-097D775A517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3" authorId="89" shapeId="0" xr:uid="{CEE536BD-31DC-4F15-B659-09B62E1C029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4" authorId="90" shapeId="0" xr:uid="{2FFCA777-5EEF-4B52-A1E1-C4DA9C7BDE5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P115" authorId="15" shapeId="0" xr:uid="{00000000-0006-0000-0100-000003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From TG-220339 Price Out. Disposal PT revenue divided by rates.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Garland</author>
  </authors>
  <commentList>
    <comment ref="E5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Tariff item is stated "per 50 lbs."</t>
        </r>
      </text>
    </comment>
    <comment ref="A10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Heather Garland:
</t>
        </r>
        <r>
          <rPr>
            <sz val="9"/>
            <color indexed="81"/>
            <rFont val="Tahoma"/>
            <family val="2"/>
          </rPr>
          <t>New rates since last general rate filing. Disposal was embedded in rates in TG-200738.  Weights assumed to be the same as Item 240.</t>
        </r>
      </text>
    </comment>
    <comment ref="E13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3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B131" authorId="0" shapeId="0" xr:uid="{39EA9047-2363-4443-8C9A-B2D2F4BC914B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3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3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3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37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B138" authorId="0" shapeId="0" xr:uid="{341B6DD2-3A8E-47FB-B054-4A0BEB9CDFD1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38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38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45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E146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</commentList>
</comments>
</file>

<file path=xl/sharedStrings.xml><?xml version="1.0" encoding="utf-8"?>
<sst xmlns="http://schemas.openxmlformats.org/spreadsheetml/2006/main" count="592" uniqueCount="455">
  <si>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</si>
  <si>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</si>
  <si>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</si>
  <si>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</si>
  <si>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</si>
  <si>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</si>
  <si>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</si>
  <si>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</si>
  <si>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</si>
  <si>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</si>
  <si>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</si>
  <si>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</si>
  <si>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</si>
  <si>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</si>
  <si>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</si>
  <si>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</si>
  <si>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Extra Units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</si>
  <si>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</si>
  <si>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</si>
  <si>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</si>
  <si>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</si>
  <si>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</si>
  <si>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</si>
  <si>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</si>
  <si>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</si>
  <si>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</si>
  <si>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</si>
  <si>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5 cans</t>
  </si>
  <si>
    <t>6 cans</t>
  </si>
  <si>
    <t>Annual</t>
  </si>
  <si>
    <t>8 cans</t>
  </si>
  <si>
    <t>40 gallon Can</t>
  </si>
  <si>
    <t>*</t>
  </si>
  <si>
    <t>Supercan 60</t>
  </si>
  <si>
    <t>Supercan 64</t>
  </si>
  <si>
    <t>Supercan 90</t>
  </si>
  <si>
    <t>Supercan 96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</si>
  <si>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</si>
  <si>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</si>
  <si>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</si>
  <si>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</si>
  <si>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</si>
  <si>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</si>
  <si>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</si>
  <si>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</si>
  <si>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</si>
  <si>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</si>
  <si>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5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</si>
  <si>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</si>
  <si>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</si>
  <si>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</si>
  <si>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</si>
  <si>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</si>
  <si>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</si>
  <si>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</si>
  <si>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</si>
  <si>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</si>
  <si>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</si>
  <si>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Vancouver Hauling</t>
  </si>
  <si>
    <t>Per Pound</t>
  </si>
  <si>
    <t>Gross Up Factors</t>
  </si>
  <si>
    <t>B&amp;O tax</t>
  </si>
  <si>
    <t>WUTC fees</t>
  </si>
  <si>
    <t>Increase</t>
  </si>
  <si>
    <t>Total</t>
  </si>
  <si>
    <t>Transfer Station</t>
  </si>
  <si>
    <t>Increase per ton</t>
  </si>
  <si>
    <t>Factor</t>
  </si>
  <si>
    <t>Disposal Fee Revenue Increase</t>
  </si>
  <si>
    <t>Rates</t>
  </si>
  <si>
    <t>Monthly Frequency</t>
  </si>
  <si>
    <t>Annual PU's</t>
  </si>
  <si>
    <t>Calculated Annual Pounds</t>
  </si>
  <si>
    <t>Adjusted Annual Pounds</t>
  </si>
  <si>
    <t>RESIDENTIAL SERVICES</t>
  </si>
  <si>
    <t>Residential Garbage</t>
  </si>
  <si>
    <t>CRMCEOW</t>
  </si>
  <si>
    <t>20GAL CAN EOW</t>
  </si>
  <si>
    <t>CRMC</t>
  </si>
  <si>
    <t>20GAL CAN WEEKLY</t>
  </si>
  <si>
    <t>CREOW</t>
  </si>
  <si>
    <t>1 32GAL CAN EOW</t>
  </si>
  <si>
    <t>CR32MO</t>
  </si>
  <si>
    <t>1 32GAL CAN ONCE A MTH</t>
  </si>
  <si>
    <t>CR32W1</t>
  </si>
  <si>
    <t>1 32GAL CAN WEEKLY</t>
  </si>
  <si>
    <t>CR32W2</t>
  </si>
  <si>
    <t>2-32GAL CANS WEEKLY</t>
  </si>
  <si>
    <t>CR32W3</t>
  </si>
  <si>
    <t>3-32GAL CANS WEEKLY</t>
  </si>
  <si>
    <t>CR32W4</t>
  </si>
  <si>
    <t>4-32GAL CANS WEEKLY</t>
  </si>
  <si>
    <t>CR32W5</t>
  </si>
  <si>
    <t>5-32GAL CANS WEEKLY</t>
  </si>
  <si>
    <t>CR32W6</t>
  </si>
  <si>
    <t>6-32GAL CANS WEEKLY</t>
  </si>
  <si>
    <t>CR32W7</t>
  </si>
  <si>
    <t>7-32GAL CANS WEEKLY</t>
  </si>
  <si>
    <t>CR32W8</t>
  </si>
  <si>
    <t>8-32GAL CANS WEEKLY</t>
  </si>
  <si>
    <t>9-32GAL CANS WEEKLY</t>
  </si>
  <si>
    <t>RREXC</t>
  </si>
  <si>
    <t>EXTRA CANS, BAGS,BOXES</t>
  </si>
  <si>
    <t>RRCALL</t>
  </si>
  <si>
    <t>ON CALL CAN</t>
  </si>
  <si>
    <t>ROFOW</t>
  </si>
  <si>
    <t>OVERWGHT-OVERFILL CAN</t>
  </si>
  <si>
    <t>COFOW</t>
  </si>
  <si>
    <t>TOTAL RESIDENTIAL SERVICES</t>
  </si>
  <si>
    <t xml:space="preserve">COMMERCIAL SERVICES </t>
  </si>
  <si>
    <t>Commercial Garbage</t>
  </si>
  <si>
    <t>CC1Y1W</t>
  </si>
  <si>
    <t>1YD CONT 1X WEEKLY</t>
  </si>
  <si>
    <t>CC1Y2W</t>
  </si>
  <si>
    <t>1YD CONT 2X WEEKLY</t>
  </si>
  <si>
    <t>CC1YEOW</t>
  </si>
  <si>
    <t>1YD CONTAINER EOW</t>
  </si>
  <si>
    <t>CC15Y1W</t>
  </si>
  <si>
    <t>1.5YD CONT 1X WEEKLY</t>
  </si>
  <si>
    <t>CC15Y2W</t>
  </si>
  <si>
    <t>1.5YD CONT 2X WEEKLY</t>
  </si>
  <si>
    <t>CC15YEOW</t>
  </si>
  <si>
    <t>1.5YD CONTAINER EOW</t>
  </si>
  <si>
    <t>CC2Y1W</t>
  </si>
  <si>
    <t>2YD CONT 1X WEEKLY</t>
  </si>
  <si>
    <t>CC2Y2W</t>
  </si>
  <si>
    <t>2YD CONT 2X WEEKLY</t>
  </si>
  <si>
    <t>CC2Y3W</t>
  </si>
  <si>
    <t>2YD CONT 3X WEEKLY</t>
  </si>
  <si>
    <t>CC2Y4W</t>
  </si>
  <si>
    <t>2YD CONT 4X WEEKLY</t>
  </si>
  <si>
    <t>CC2Y5W</t>
  </si>
  <si>
    <t>2YD CONT 5X WEEKLY</t>
  </si>
  <si>
    <t>CC2YEOW</t>
  </si>
  <si>
    <t>2YD CONTAINER EOW</t>
  </si>
  <si>
    <t>CC3Y1W</t>
  </si>
  <si>
    <t>3YD CONT 1X WEEKLY</t>
  </si>
  <si>
    <t>CC3Y2W</t>
  </si>
  <si>
    <t>3YD CONT 2X WEEKLY</t>
  </si>
  <si>
    <t>CC3Y3W</t>
  </si>
  <si>
    <t>3YD CONT 3X WEEKLY</t>
  </si>
  <si>
    <t>CC3Y4W</t>
  </si>
  <si>
    <t>3YD CONT 4X WEEKLY</t>
  </si>
  <si>
    <t>CC3Y5W</t>
  </si>
  <si>
    <t>3YD CONT 5X WEEKLY</t>
  </si>
  <si>
    <t>CC3YEOW</t>
  </si>
  <si>
    <t>3YD CONTAINER EOW</t>
  </si>
  <si>
    <t>CC4Y1W</t>
  </si>
  <si>
    <t>4YD CONT 1X WEEKLY</t>
  </si>
  <si>
    <t>CC4Y2W</t>
  </si>
  <si>
    <t>4YD CONT 2X WEEKLY</t>
  </si>
  <si>
    <t>CC4Y3W</t>
  </si>
  <si>
    <t>4YD CONT 3X WEEKLY</t>
  </si>
  <si>
    <t>CC4Y4W</t>
  </si>
  <si>
    <t>4YD CONT 4X WEEKLY</t>
  </si>
  <si>
    <t>CC4Y5W</t>
  </si>
  <si>
    <t>4YD CONT 5X WEEKLY</t>
  </si>
  <si>
    <t>CC4Y6W</t>
  </si>
  <si>
    <t>4YD CONT 6X WEEKLY</t>
  </si>
  <si>
    <t>CC4YEOW</t>
  </si>
  <si>
    <t>4YD CONTAINER EOW</t>
  </si>
  <si>
    <t>CC5Y1W</t>
  </si>
  <si>
    <t>5YD CONT 1X WEEKLY</t>
  </si>
  <si>
    <t>CC5YEOW</t>
  </si>
  <si>
    <t>5YD CONTAINER EOW</t>
  </si>
  <si>
    <t>CC6Y1W</t>
  </si>
  <si>
    <t>6YD CONT 1X WEEKLY</t>
  </si>
  <si>
    <t>CC6Y2W</t>
  </si>
  <si>
    <t>6YD CONT 2X WEEKLY</t>
  </si>
  <si>
    <t>CC6Y3W</t>
  </si>
  <si>
    <t>6YD CONT 3X WEEKLY</t>
  </si>
  <si>
    <t>CC6YEOW</t>
  </si>
  <si>
    <t>6YD CONTAINER EOW</t>
  </si>
  <si>
    <t>CC8Y1W</t>
  </si>
  <si>
    <t>8YD CONT 1X WEEKLY</t>
  </si>
  <si>
    <t>CC8Y2W</t>
  </si>
  <si>
    <t>8YD CONT 2X WEEKLY</t>
  </si>
  <si>
    <t>CC8Y3W</t>
  </si>
  <si>
    <t>8YD CONT 3X WEEKLY</t>
  </si>
  <si>
    <t>CC8Y4W</t>
  </si>
  <si>
    <t>8YD CONT 4X WEEKLY</t>
  </si>
  <si>
    <t>CC8YEOW</t>
  </si>
  <si>
    <t>8YD CONTAINER EOW</t>
  </si>
  <si>
    <t>CCCMP2Y</t>
  </si>
  <si>
    <t>2YD COMP CONT 1X WKLY</t>
  </si>
  <si>
    <t>CCCMP4Y</t>
  </si>
  <si>
    <t>4YD COMP CONT 1X WKLY</t>
  </si>
  <si>
    <t>CCSP1Y</t>
  </si>
  <si>
    <t>SPECIAL PICKUP 1YD CONT</t>
  </si>
  <si>
    <t>CCSP15Y</t>
  </si>
  <si>
    <t>SPECIAL PICKUP 1.5YD CONT</t>
  </si>
  <si>
    <t>CCSP2Y</t>
  </si>
  <si>
    <t>SPECIAL PICKUP 2YD CONT</t>
  </si>
  <si>
    <t>CCSP3Y</t>
  </si>
  <si>
    <t>SPECIAL PICKUP 3YD CONT</t>
  </si>
  <si>
    <t>VCSP4YC</t>
  </si>
  <si>
    <t>SPECIAL PICKUP 4YD COMP</t>
  </si>
  <si>
    <t>CCSP4Y</t>
  </si>
  <si>
    <t>SPECIAL PICKUP 4YD CONT</t>
  </si>
  <si>
    <t>CCSP6Y</t>
  </si>
  <si>
    <t>SPECIAL PICKUP 6YD CONT</t>
  </si>
  <si>
    <t>CCSP8Y</t>
  </si>
  <si>
    <t>SPECIAL PICKUP 8YD CONT</t>
  </si>
  <si>
    <t>CCTP1Y</t>
  </si>
  <si>
    <t>TEMP PICKUP 1YD CONT</t>
  </si>
  <si>
    <t>CCTP15Y</t>
  </si>
  <si>
    <t>TEMP PICKUP 1.5YD CONT</t>
  </si>
  <si>
    <t>CCTP2Y</t>
  </si>
  <si>
    <t>TEMP PICKUP 2YD CONT</t>
  </si>
  <si>
    <t>CCTP3Y</t>
  </si>
  <si>
    <t>TEMP PICKUP 3YD CONT</t>
  </si>
  <si>
    <t>CCTP4Y</t>
  </si>
  <si>
    <t>TEMP PICKUP 4YD CONT</t>
  </si>
  <si>
    <t>CC32W1</t>
  </si>
  <si>
    <t>32GAL CAN WEEKLY-COM</t>
  </si>
  <si>
    <t>CC32W2</t>
  </si>
  <si>
    <t>CC32W3</t>
  </si>
  <si>
    <t>CC32W4</t>
  </si>
  <si>
    <t>CC32W5</t>
  </si>
  <si>
    <t>CC32W6</t>
  </si>
  <si>
    <t>CC32W8</t>
  </si>
  <si>
    <t>CC32W9</t>
  </si>
  <si>
    <t>CCEXCAN</t>
  </si>
  <si>
    <t>EXTRA = CANS - COM</t>
  </si>
  <si>
    <t>CCEXYD</t>
  </si>
  <si>
    <t>EXTRA = YARDS</t>
  </si>
  <si>
    <t>RCOF</t>
  </si>
  <si>
    <t>OVERFILLED CONTAINER</t>
  </si>
  <si>
    <t>TOTAL COMMERCIAL SERVICES</t>
  </si>
  <si>
    <t>GRAND TOTAL</t>
  </si>
  <si>
    <t>Adjustment Factor Calculation</t>
  </si>
  <si>
    <t>Clark County</t>
  </si>
  <si>
    <t>Adj lbs</t>
  </si>
  <si>
    <t>Residential</t>
  </si>
  <si>
    <t>Total Tonnage</t>
  </si>
  <si>
    <t>Commercial</t>
  </si>
  <si>
    <t>Total Pounds</t>
  </si>
  <si>
    <t>Non-Regulated</t>
  </si>
  <si>
    <t>Per Ton (Packer)</t>
  </si>
  <si>
    <t>Per Ton (RO)</t>
  </si>
  <si>
    <t>Current</t>
  </si>
  <si>
    <t>Proposed</t>
  </si>
  <si>
    <t>Rate</t>
  </si>
  <si>
    <t>Minimum</t>
  </si>
  <si>
    <t>7 can</t>
  </si>
  <si>
    <t xml:space="preserve">8 can </t>
  </si>
  <si>
    <t>9 can</t>
  </si>
  <si>
    <t>1 can per month</t>
  </si>
  <si>
    <t>1 can every other week</t>
  </si>
  <si>
    <t>Mini-can</t>
  </si>
  <si>
    <t>60-gal toter</t>
  </si>
  <si>
    <t>90-gal toter</t>
  </si>
  <si>
    <t>Bag</t>
  </si>
  <si>
    <t>On Call</t>
  </si>
  <si>
    <t>Loose and Bulky</t>
  </si>
  <si>
    <t>Additional</t>
  </si>
  <si>
    <t>Excess Weight:</t>
  </si>
  <si>
    <t>1 yard</t>
  </si>
  <si>
    <t>5 yard</t>
  </si>
  <si>
    <t>Item 230, pg 34</t>
  </si>
  <si>
    <t>Disposal Fees:</t>
  </si>
  <si>
    <t>Refuse (per ton)</t>
  </si>
  <si>
    <t>2 yard</t>
  </si>
  <si>
    <t xml:space="preserve"> </t>
  </si>
  <si>
    <t xml:space="preserve">Special Pickups: </t>
  </si>
  <si>
    <t>Temporary:</t>
  </si>
  <si>
    <t>Each additional unit</t>
  </si>
  <si>
    <t>3 yard</t>
  </si>
  <si>
    <t>4 yard</t>
  </si>
  <si>
    <t>6 yard</t>
  </si>
  <si>
    <t>Special Pickup:</t>
  </si>
  <si>
    <t>Gross Up</t>
  </si>
  <si>
    <t>Tariff Rate Increase</t>
  </si>
  <si>
    <t>Extra yard</t>
  </si>
  <si>
    <t>Overfilled</t>
  </si>
  <si>
    <t>Calculated Rate</t>
  </si>
  <si>
    <t>Occasional Extra</t>
  </si>
  <si>
    <t>Actual Weight</t>
  </si>
  <si>
    <t>Revised Revenue Increase</t>
  </si>
  <si>
    <t>Tons</t>
  </si>
  <si>
    <t>Dollars</t>
  </si>
  <si>
    <t>Per GL</t>
  </si>
  <si>
    <t>RO</t>
  </si>
  <si>
    <t>RO - Food Waste</t>
  </si>
  <si>
    <t>Waste Works RO - Garbage Only</t>
  </si>
  <si>
    <t>RO - Other</t>
  </si>
  <si>
    <t>Waste Works MSW/Comm Garbage Only</t>
  </si>
  <si>
    <t>Waste Works Other (FW, YD, etc)</t>
  </si>
  <si>
    <t>RO Rpt Total</t>
  </si>
  <si>
    <t>Variance to Breakout</t>
  </si>
  <si>
    <t>Variance to GL</t>
  </si>
  <si>
    <t>MSW - Other</t>
  </si>
  <si>
    <t>Pass-Through per Billing</t>
  </si>
  <si>
    <t>Pass-Through in Acct. 40139</t>
  </si>
  <si>
    <t>Pass-Through In Other Accts.</t>
  </si>
  <si>
    <t>MSW/Comm Rpt Total</t>
  </si>
  <si>
    <t>RR32W1</t>
  </si>
  <si>
    <t>WBMISC</t>
  </si>
  <si>
    <t>BULKY ITEM CHARGE-MISC</t>
  </si>
  <si>
    <t>RC32EOW</t>
  </si>
  <si>
    <t>32GAL CAN EOW-COM</t>
  </si>
  <si>
    <t>VC3Y2W</t>
  </si>
  <si>
    <t>3YD CONT 6X WEEKLY</t>
  </si>
  <si>
    <t>6YD CONT 4X WEEKLY</t>
  </si>
  <si>
    <t>8YD CONT 6X WEEKLY</t>
  </si>
  <si>
    <t>Residential Increase</t>
  </si>
  <si>
    <t>Commerical Increase</t>
  </si>
  <si>
    <t>RO Increase</t>
  </si>
  <si>
    <t>Calc lbs</t>
  </si>
  <si>
    <t>Drop Box (per ton)</t>
  </si>
  <si>
    <t>Clark County - Dump Fee Calculation</t>
  </si>
  <si>
    <t>1.5 yd packer/compactor</t>
  </si>
  <si>
    <t>Over 9 Cans</t>
  </si>
  <si>
    <t>N/A</t>
  </si>
  <si>
    <t>* not on meeks - calculated weight times compaction ratio</t>
  </si>
  <si>
    <t>Dump Fee Calculation References</t>
  </si>
  <si>
    <t>6 can</t>
  </si>
  <si>
    <t>Mini</t>
  </si>
  <si>
    <t>Mini every other week</t>
  </si>
  <si>
    <t>2 can</t>
  </si>
  <si>
    <t>3 can</t>
  </si>
  <si>
    <t>4 can</t>
  </si>
  <si>
    <t>5 can</t>
  </si>
  <si>
    <t>Oversized can</t>
  </si>
  <si>
    <t>1.5 yard</t>
  </si>
  <si>
    <t xml:space="preserve">3 yard </t>
  </si>
  <si>
    <t xml:space="preserve">4 yard </t>
  </si>
  <si>
    <t xml:space="preserve">6 yard </t>
  </si>
  <si>
    <t xml:space="preserve">8 yard </t>
  </si>
  <si>
    <t>32-gal</t>
  </si>
  <si>
    <t>Minimum charge</t>
  </si>
  <si>
    <t>4 yard comp</t>
  </si>
  <si>
    <t xml:space="preserve">4 yard comp </t>
  </si>
  <si>
    <t>Each Pickup:</t>
  </si>
  <si>
    <t>Permanent Container:</t>
  </si>
  <si>
    <t>Special Pickups:</t>
  </si>
  <si>
    <t>Company Current Revenue</t>
  </si>
  <si>
    <t>Grossed up increase per ton</t>
  </si>
  <si>
    <t>Tons collected</t>
  </si>
  <si>
    <t>Bad debts</t>
  </si>
  <si>
    <t xml:space="preserve">Current rate </t>
  </si>
  <si>
    <t>New rate per ton</t>
  </si>
  <si>
    <t>Company Proposed Revenue</t>
  </si>
  <si>
    <t>Current Tariff</t>
  </si>
  <si>
    <t>Proposed Tariff</t>
  </si>
  <si>
    <t>Total Packer Increase</t>
  </si>
  <si>
    <t>Adjust factor</t>
  </si>
  <si>
    <t>RO Tons</t>
  </si>
  <si>
    <t>Waste Connections of Washington, Inc., G-253</t>
  </si>
  <si>
    <t>Empty &amp; Return</t>
  </si>
  <si>
    <t>1.5 Yard</t>
  </si>
  <si>
    <t>2 Yard</t>
  </si>
  <si>
    <t>3 Yard</t>
  </si>
  <si>
    <t>4 Yard</t>
  </si>
  <si>
    <t>5 Yard</t>
  </si>
  <si>
    <t>6 Yard</t>
  </si>
  <si>
    <t>8 Yard</t>
  </si>
  <si>
    <t>Final Pull</t>
  </si>
  <si>
    <t>2020 Rate</t>
  </si>
  <si>
    <t>Packer</t>
  </si>
  <si>
    <t>2021 CPI</t>
  </si>
  <si>
    <t>2022 CPI</t>
  </si>
  <si>
    <t>County Health Fee</t>
  </si>
  <si>
    <t>Matches Letter</t>
  </si>
  <si>
    <t>2021 Additional Work</t>
  </si>
  <si>
    <t>2022 Additional Work</t>
  </si>
  <si>
    <t>Calculation of Rates:</t>
  </si>
  <si>
    <t>1/1/2021 Rate</t>
  </si>
  <si>
    <t>1/1/2022 Rate</t>
  </si>
  <si>
    <t>1/1/2022 Rate (excl. Extra Work)</t>
  </si>
  <si>
    <t>Post COVID Pages</t>
  </si>
  <si>
    <t>Note: Customer count and disposal/weight related figures were audited and presented as part of TG-220339 and are used in this filing per WUTC request.</t>
  </si>
  <si>
    <t>2023 Additional Work #5</t>
  </si>
  <si>
    <t>Organics</t>
  </si>
  <si>
    <t>Resi/Comm MSW</t>
  </si>
  <si>
    <t>Food Waste</t>
  </si>
  <si>
    <t>2023 CPI</t>
  </si>
  <si>
    <t>2023 Basic Rate</t>
  </si>
  <si>
    <t>2023 Additional Work #3</t>
  </si>
  <si>
    <t>2023 Additional Work #4</t>
  </si>
  <si>
    <t>CRCALL</t>
  </si>
  <si>
    <t>ON CALL CAN-COM</t>
  </si>
  <si>
    <t>CR32W9</t>
  </si>
  <si>
    <t>CC3Y6W</t>
  </si>
  <si>
    <t>CC6Y4W</t>
  </si>
  <si>
    <t>Waste Connections of Washington</t>
  </si>
  <si>
    <t>Disposal Summary</t>
  </si>
  <si>
    <t>Year Ended March 31, 2022</t>
  </si>
  <si>
    <r>
      <t xml:space="preserve">Note:  </t>
    </r>
    <r>
      <rPr>
        <sz val="11"/>
        <color theme="1"/>
        <rFont val="Calibri"/>
        <family val="2"/>
        <scheme val="minor"/>
      </rPr>
      <t>This worksheet provides the disposal dollars and tons per our Waste Works system in columns C-F.  This is then tied to the GL amount for account "40139" in columns H-J.  The information obtained from the system is used appropriately allocate disposal expense between the regulated and non-regulated lines of business on the Master IS tab.</t>
    </r>
  </si>
  <si>
    <t>Disposal Expense/Ton Breakdown by Type</t>
  </si>
  <si>
    <t>Reconciliation to GL 40139</t>
  </si>
  <si>
    <t>imm</t>
  </si>
  <si>
    <t>Reconciliation of Pass Through Expense</t>
  </si>
  <si>
    <t>RO MSW</t>
  </si>
  <si>
    <t>Other (Yard Debris, Wood, Food Waste, Organics)</t>
  </si>
  <si>
    <t>Regulated/Non-Regulated Breakout - Via Disposal Alloc Calc</t>
  </si>
  <si>
    <t>Regulated</t>
  </si>
  <si>
    <t>CC32W7</t>
  </si>
  <si>
    <t>CC8Y6W</t>
  </si>
  <si>
    <t>From TG-220339 - the last audited General Rate Filing. Including Reg/Non Reg Tonnage Allocation %'s, as audited and approved.</t>
  </si>
  <si>
    <t>20 Gal EOW</t>
  </si>
  <si>
    <t>20 Gal Weekly</t>
  </si>
  <si>
    <t>35 Gal Monthly</t>
  </si>
  <si>
    <t>35 Gal EOW</t>
  </si>
  <si>
    <t>35 Gal Weekly</t>
  </si>
  <si>
    <t>65 Gal Weekly</t>
  </si>
  <si>
    <t>95 Gal Weekly</t>
  </si>
  <si>
    <t>New Since Last GRC test Period</t>
  </si>
  <si>
    <t>20 Gal Cart - On Call</t>
  </si>
  <si>
    <t>35 Gal Cart - On Call</t>
  </si>
  <si>
    <t>65 Gal Cart - On Call</t>
  </si>
  <si>
    <t>95 Gal Cart - On Call</t>
  </si>
  <si>
    <t>20-gal cart</t>
  </si>
  <si>
    <t>35-gal cart</t>
  </si>
  <si>
    <t>65-gal cart</t>
  </si>
  <si>
    <t>95-gal cart</t>
  </si>
  <si>
    <t>Customer Count</t>
  </si>
  <si>
    <t>Additional Cans Over 9</t>
  </si>
  <si>
    <t>3YD COMP CONT</t>
  </si>
  <si>
    <t>6YD COMP CONT</t>
  </si>
  <si>
    <t>Special Pickup 5YD Container</t>
  </si>
  <si>
    <t>Container overweight per 50 lb</t>
  </si>
  <si>
    <t>No Customer Rates</t>
  </si>
  <si>
    <t>3YD COMP Special PU</t>
  </si>
  <si>
    <t>6YD COMP Special PU</t>
  </si>
  <si>
    <t>2YD COMP Temp PU Rate</t>
  </si>
  <si>
    <t>3YD COMP Temp PU Rate</t>
  </si>
  <si>
    <t>4YD COMP Temp PU Rate</t>
  </si>
  <si>
    <t>6YD COMP Temp PU Rate</t>
  </si>
  <si>
    <t>ITEM 250</t>
  </si>
  <si>
    <t>ITEM 207</t>
  </si>
  <si>
    <t>ITEM 240</t>
  </si>
  <si>
    <t>When we include the monthly factor it throws the revenue off. Backing out the monthly factor makes everything tie out.</t>
  </si>
  <si>
    <t>Extra Handling Fee</t>
  </si>
  <si>
    <t>Proposed Effective January 1, 2024</t>
  </si>
  <si>
    <t>Item 55, pg 16A</t>
  </si>
  <si>
    <t>Item 100, pg 21A</t>
  </si>
  <si>
    <t>Item 100, pg 22A</t>
  </si>
  <si>
    <t>Item 150, pg 28A</t>
  </si>
  <si>
    <t>Item 207, pg 32A</t>
  </si>
  <si>
    <t>Item 240, pg 35A</t>
  </si>
  <si>
    <t>Item 240-1, pg 36A</t>
  </si>
  <si>
    <t>Item 245, pg 37A</t>
  </si>
  <si>
    <t>Item 250, pg 38A</t>
  </si>
  <si>
    <t>Item 255, pg 39A</t>
  </si>
  <si>
    <t>Matches letter 11/15/23</t>
  </si>
  <si>
    <t>2024 Full Tip Fee</t>
  </si>
  <si>
    <t>1/1/2023 Rate</t>
  </si>
  <si>
    <t>1/1/2023 Rate (Excl Extra Work)</t>
  </si>
  <si>
    <t>2023 Additional Work</t>
  </si>
  <si>
    <t>2023 Basic Tip Fee</t>
  </si>
  <si>
    <t>ITEM 240-1</t>
  </si>
  <si>
    <t>1 Yard Pickup and Return</t>
  </si>
  <si>
    <t>1 Yard</t>
  </si>
  <si>
    <t>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</si>
</sst>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_(&quot;$&quot;* #,##0.0000_);_(&quot;$&quot;* \(#,##0.0000\);_(&quot;$&quot;* &quot;-&quot;????_);_(@_)"/>
    <numFmt numFmtId="171" formatCode="&quot;$&quot;#,##0\ ;\(&quot;$&quot;#,##0\)"/>
    <numFmt numFmtId="172" formatCode="General_)"/>
    <numFmt numFmtId="173" formatCode="0.0%"/>
    <numFmt numFmtId="174" formatCode="mm\-yy;\-0;;@"/>
    <numFmt numFmtId="175" formatCode=".00#####;\-.00####;;@"/>
    <numFmt numFmtId="176" formatCode="_(&quot;$&quot;* #,##0.00000_);_(&quot;$&quot;* \(#,##0.00000\);_(&quot;$&quot;* &quot;-&quot;??_);_(@_)"/>
    <numFmt numFmtId="177" formatCode="_(&quot;$&quot;* #,##0_);_(&quot;$&quot;* \(#,##0\);_(&quot;$&quot;* &quot;-&quot;??_);_(@_)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.5"/>
      <color theme="0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2"/>
      <name val="Helv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1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5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Helv"/>
    </font>
    <font>
      <sz val="10"/>
      <name val="SWISS"/>
    </font>
    <font>
      <b/>
      <sz val="10"/>
      <name val="Helv"/>
    </font>
    <font>
      <b/>
      <sz val="10"/>
      <name val="SWISS"/>
    </font>
    <font>
      <b/>
      <u val="singleAccounting"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trike/>
      <sz val="1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0" borderId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4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9" borderId="0" applyNumberFormat="0" applyBorder="0" applyAlignment="0" applyProtection="0"/>
    <xf numFmtId="0" fontId="14" fillId="21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41" fontId="15" fillId="0" borderId="0"/>
    <xf numFmtId="41" fontId="15" fillId="0" borderId="0"/>
    <xf numFmtId="41" fontId="15" fillId="0" borderId="0"/>
    <xf numFmtId="41" fontId="15" fillId="0" borderId="0"/>
    <xf numFmtId="49" fontId="16" fillId="0" borderId="0" applyFill="0" applyBorder="0" applyAlignment="0" applyProtection="0"/>
    <xf numFmtId="0" fontId="17" fillId="0" borderId="4" applyBorder="0">
      <alignment horizontal="center" vertical="center" wrapText="1"/>
    </xf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3" fontId="15" fillId="0" borderId="0"/>
    <xf numFmtId="3" fontId="15" fillId="0" borderId="0"/>
    <xf numFmtId="3" fontId="15" fillId="0" borderId="0"/>
    <xf numFmtId="3" fontId="15" fillId="0" borderId="0"/>
    <xf numFmtId="0" fontId="19" fillId="30" borderId="5" applyNumberFormat="0" applyAlignment="0" applyProtection="0"/>
    <xf numFmtId="0" fontId="20" fillId="30" borderId="5" applyNumberFormat="0" applyAlignment="0" applyProtection="0"/>
    <xf numFmtId="0" fontId="19" fillId="30" borderId="5" applyNumberFormat="0" applyAlignment="0" applyProtection="0"/>
    <xf numFmtId="0" fontId="21" fillId="30" borderId="5" applyNumberFormat="0" applyAlignment="0" applyProtection="0"/>
    <xf numFmtId="0" fontId="20" fillId="8" borderId="5" applyNumberFormat="0" applyAlignment="0" applyProtection="0"/>
    <xf numFmtId="0" fontId="21" fillId="30" borderId="5" applyNumberFormat="0" applyAlignment="0" applyProtection="0"/>
    <xf numFmtId="0" fontId="21" fillId="30" borderId="5" applyNumberFormat="0" applyAlignment="0" applyProtection="0"/>
    <xf numFmtId="0" fontId="22" fillId="31" borderId="6" applyNumberFormat="0" applyAlignment="0" applyProtection="0"/>
    <xf numFmtId="0" fontId="22" fillId="32" borderId="7" applyNumberFormat="0" applyAlignment="0" applyProtection="0"/>
    <xf numFmtId="0" fontId="23" fillId="33" borderId="0" applyNumberFormat="0" applyBorder="0" applyAlignment="0" applyProtection="0">
      <alignment horizontal="center"/>
      <protection hidden="1"/>
    </xf>
    <xf numFmtId="0" fontId="15" fillId="34" borderId="0">
      <alignment horizontal="center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26" fillId="0" borderId="0"/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0" fontId="30" fillId="35" borderId="1" applyAlignment="0">
      <alignment horizontal="right"/>
      <protection locked="0"/>
    </xf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3" fillId="36" borderId="0">
      <alignment horizontal="right"/>
      <protection locked="0"/>
    </xf>
    <xf numFmtId="14" fontId="15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/>
    <xf numFmtId="2" fontId="33" fillId="36" borderId="0">
      <alignment horizontal="right"/>
      <protection locked="0"/>
    </xf>
    <xf numFmtId="1" fontId="15" fillId="0" borderId="0">
      <alignment horizontal="center"/>
    </xf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2" fillId="2" borderId="0" applyNumberFormat="0" applyBorder="0" applyAlignment="0" applyProtection="0"/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6" fillId="0" borderId="8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9" fillId="0" borderId="12" applyNumberFormat="0" applyFill="0" applyAlignment="0" applyProtection="0"/>
    <xf numFmtId="0" fontId="40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2" fillId="0" borderId="14" applyNumberFormat="0" applyFill="0" applyAlignment="0" applyProtection="0"/>
    <xf numFmtId="0" fontId="43" fillId="0" borderId="16" applyNumberFormat="0" applyFill="0" applyAlignment="0" applyProtection="0"/>
    <xf numFmtId="0" fontId="44" fillId="0" borderId="17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15" borderId="5" applyNumberFormat="0" applyAlignment="0" applyProtection="0"/>
    <xf numFmtId="0" fontId="49" fillId="15" borderId="5" applyNumberFormat="0" applyAlignment="0" applyProtection="0"/>
    <xf numFmtId="0" fontId="49" fillId="15" borderId="5" applyNumberFormat="0" applyAlignment="0" applyProtection="0"/>
    <xf numFmtId="3" fontId="50" fillId="38" borderId="0">
      <protection locked="0"/>
    </xf>
    <xf numFmtId="4" fontId="50" fillId="38" borderId="0">
      <protection locked="0"/>
    </xf>
    <xf numFmtId="0" fontId="17" fillId="0" borderId="4" applyBorder="0">
      <alignment horizontal="center" vertical="center" wrapText="1"/>
    </xf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18" applyNumberFormat="0" applyFill="0" applyAlignment="0" applyProtection="0"/>
    <xf numFmtId="0" fontId="53" fillId="0" borderId="20" applyNumberFormat="0" applyFill="0" applyAlignment="0" applyProtection="0"/>
    <xf numFmtId="0" fontId="53" fillId="0" borderId="20" applyNumberFormat="0" applyFill="0" applyAlignment="0" applyProtection="0"/>
    <xf numFmtId="0" fontId="54" fillId="15" borderId="0" applyNumberFormat="0" applyBorder="0" applyAlignment="0" applyProtection="0"/>
    <xf numFmtId="0" fontId="55" fillId="15" borderId="0" applyNumberFormat="0" applyBorder="0" applyAlignment="0" applyProtection="0"/>
    <xf numFmtId="0" fontId="54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43" fontId="1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5" fillId="0" borderId="0"/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" fillId="0" borderId="0"/>
    <xf numFmtId="0" fontId="57" fillId="0" borderId="0"/>
    <xf numFmtId="0" fontId="15" fillId="0" borderId="0"/>
    <xf numFmtId="0" fontId="1" fillId="0" borderId="0"/>
    <xf numFmtId="0" fontId="1" fillId="0" borderId="0"/>
    <xf numFmtId="0" fontId="57" fillId="0" borderId="0"/>
    <xf numFmtId="0" fontId="15" fillId="0" borderId="0"/>
    <xf numFmtId="0" fontId="11" fillId="0" borderId="0"/>
    <xf numFmtId="0" fontId="1" fillId="0" borderId="0"/>
    <xf numFmtId="0" fontId="24" fillId="0" borderId="0"/>
    <xf numFmtId="0" fontId="15" fillId="0" borderId="0"/>
    <xf numFmtId="0" fontId="1" fillId="0" borderId="0"/>
    <xf numFmtId="0" fontId="1" fillId="0" borderId="0"/>
    <xf numFmtId="0" fontId="24" fillId="0" borderId="0"/>
    <xf numFmtId="0" fontId="15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2" fontId="3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>
      <alignment wrapText="1"/>
    </xf>
    <xf numFmtId="0" fontId="26" fillId="0" borderId="0">
      <alignment vertical="top"/>
    </xf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/>
    <xf numFmtId="0" fontId="11" fillId="0" borderId="0"/>
    <xf numFmtId="0" fontId="15" fillId="0" borderId="0"/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28" fillId="0" borderId="0"/>
    <xf numFmtId="0" fontId="31" fillId="0" borderId="0"/>
    <xf numFmtId="0" fontId="26" fillId="0" borderId="0">
      <alignment vertical="top"/>
    </xf>
    <xf numFmtId="0" fontId="15" fillId="0" borderId="0"/>
    <xf numFmtId="0" fontId="15" fillId="0" borderId="0"/>
    <xf numFmtId="0" fontId="15" fillId="0" borderId="0">
      <alignment wrapText="1"/>
    </xf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31" fillId="0" borderId="0"/>
    <xf numFmtId="0" fontId="11" fillId="0" borderId="0"/>
    <xf numFmtId="0" fontId="31" fillId="0" borderId="0"/>
    <xf numFmtId="0" fontId="1" fillId="0" borderId="0"/>
    <xf numFmtId="0" fontId="1" fillId="0" borderId="0"/>
    <xf numFmtId="0" fontId="26" fillId="0" borderId="0">
      <alignment vertical="top"/>
    </xf>
    <xf numFmtId="0" fontId="15" fillId="0" borderId="0"/>
    <xf numFmtId="0" fontId="1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3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57" fillId="0" borderId="0"/>
    <xf numFmtId="0" fontId="11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5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57" fillId="0" borderId="0"/>
    <xf numFmtId="0" fontId="15" fillId="0" borderId="0"/>
    <xf numFmtId="0" fontId="15" fillId="0" borderId="0"/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/>
    <xf numFmtId="0" fontId="15" fillId="0" borderId="0"/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6" fillId="12" borderId="21" applyNumberFormat="0" applyFont="0" applyAlignment="0" applyProtection="0"/>
    <xf numFmtId="0" fontId="11" fillId="12" borderId="21" applyNumberFormat="0" applyFont="0" applyAlignment="0" applyProtection="0"/>
    <xf numFmtId="0" fontId="26" fillId="12" borderId="21" applyNumberFormat="0" applyFont="0" applyAlignment="0" applyProtection="0"/>
    <xf numFmtId="0" fontId="31" fillId="12" borderId="21" applyNumberFormat="0" applyFont="0" applyAlignment="0" applyProtection="0"/>
    <xf numFmtId="0" fontId="25" fillId="12" borderId="21" applyNumberFormat="0" applyFont="0" applyAlignment="0" applyProtection="0"/>
    <xf numFmtId="0" fontId="31" fillId="12" borderId="21" applyNumberFormat="0" applyFont="0" applyAlignment="0" applyProtection="0"/>
    <xf numFmtId="0" fontId="31" fillId="12" borderId="21" applyNumberFormat="0" applyFont="0" applyAlignment="0" applyProtection="0"/>
    <xf numFmtId="173" fontId="58" fillId="0" borderId="0" applyNumberFormat="0"/>
    <xf numFmtId="0" fontId="43" fillId="30" borderId="22" applyNumberFormat="0" applyAlignment="0" applyProtection="0"/>
    <xf numFmtId="0" fontId="59" fillId="30" borderId="23" applyNumberFormat="0" applyAlignment="0" applyProtection="0"/>
    <xf numFmtId="0" fontId="59" fillId="30" borderId="23" applyNumberFormat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32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38" fontId="60" fillId="0" borderId="0" applyNumberFormat="0" applyFont="0" applyFill="0" applyBorder="0">
      <alignment horizontal="left" indent="4"/>
      <protection locked="0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61" fillId="0" borderId="24">
      <alignment horizontal="center"/>
    </xf>
    <xf numFmtId="3" fontId="28" fillId="0" borderId="0" applyFont="0" applyFill="0" applyBorder="0" applyAlignment="0" applyProtection="0"/>
    <xf numFmtId="0" fontId="28" fillId="39" borderId="0" applyNumberFormat="0" applyFon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 applyNumberFormat="0" applyBorder="0" applyAlignment="0"/>
    <xf numFmtId="0" fontId="26" fillId="0" borderId="0" applyNumberFormat="0" applyBorder="0" applyAlignment="0"/>
    <xf numFmtId="37" fontId="63" fillId="0" borderId="0"/>
    <xf numFmtId="175" fontId="64" fillId="40" borderId="0" applyFill="0" applyBorder="0" applyProtection="0">
      <alignment horizontal="center"/>
      <protection hidden="1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6" applyNumberFormat="0" applyFill="0" applyAlignment="0" applyProtection="0"/>
    <xf numFmtId="0" fontId="67" fillId="0" borderId="25" applyNumberFormat="0" applyFill="0" applyAlignment="0" applyProtection="0"/>
    <xf numFmtId="0" fontId="67" fillId="0" borderId="27" applyNumberFormat="0" applyFill="0" applyAlignment="0" applyProtection="0"/>
    <xf numFmtId="0" fontId="67" fillId="0" borderId="28" applyNumberFormat="0" applyFill="0" applyAlignment="0" applyProtection="0"/>
    <xf numFmtId="0" fontId="67" fillId="0" borderId="27" applyNumberFormat="0" applyFill="0" applyAlignment="0" applyProtection="0"/>
    <xf numFmtId="0" fontId="67" fillId="0" borderId="27" applyNumberFormat="0" applyFill="0" applyAlignment="0" applyProtection="0"/>
    <xf numFmtId="0" fontId="68" fillId="0" borderId="0">
      <alignment horizont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69" fillId="41" borderId="0" applyFont="0" applyFill="0" applyBorder="0" applyAlignment="0" applyProtection="0">
      <alignment wrapText="1"/>
    </xf>
    <xf numFmtId="172" fontId="31" fillId="0" borderId="0"/>
    <xf numFmtId="0" fontId="15" fillId="0" borderId="0"/>
    <xf numFmtId="0" fontId="26" fillId="0" borderId="0">
      <alignment vertical="top"/>
    </xf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89">
    <xf numFmtId="0" fontId="0" fillId="0" borderId="0" xfId="0"/>
    <xf numFmtId="0" fontId="3" fillId="4" borderId="0" xfId="0" applyFont="1" applyFill="1"/>
    <xf numFmtId="0" fontId="10" fillId="4" borderId="0" xfId="0" applyFont="1" applyFill="1"/>
    <xf numFmtId="0" fontId="71" fillId="4" borderId="0" xfId="0" applyFont="1" applyFill="1"/>
    <xf numFmtId="0" fontId="71" fillId="4" borderId="2" xfId="0" applyFont="1" applyFill="1" applyBorder="1"/>
    <xf numFmtId="43" fontId="71" fillId="4" borderId="0" xfId="1" applyFont="1" applyFill="1"/>
    <xf numFmtId="164" fontId="71" fillId="4" borderId="0" xfId="1" applyNumberFormat="1" applyFont="1" applyFill="1"/>
    <xf numFmtId="43" fontId="71" fillId="4" borderId="0" xfId="0" applyNumberFormat="1" applyFont="1" applyFill="1"/>
    <xf numFmtId="0" fontId="71" fillId="0" borderId="0" xfId="0" applyFont="1"/>
    <xf numFmtId="0" fontId="71" fillId="4" borderId="1" xfId="0" applyFont="1" applyFill="1" applyBorder="1" applyAlignment="1">
      <alignment horizontal="center"/>
    </xf>
    <xf numFmtId="43" fontId="71" fillId="4" borderId="0" xfId="0" applyNumberFormat="1" applyFont="1" applyFill="1" applyAlignment="1">
      <alignment horizontal="center"/>
    </xf>
    <xf numFmtId="43" fontId="71" fillId="4" borderId="0" xfId="1" applyFont="1" applyFill="1" applyAlignment="1">
      <alignment horizontal="center"/>
    </xf>
    <xf numFmtId="0" fontId="71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right"/>
    </xf>
    <xf numFmtId="0" fontId="74" fillId="4" borderId="0" xfId="0" applyFont="1" applyFill="1"/>
    <xf numFmtId="0" fontId="74" fillId="4" borderId="0" xfId="0" applyFont="1" applyFill="1" applyAlignment="1">
      <alignment horizontal="center"/>
    </xf>
    <xf numFmtId="0" fontId="71" fillId="0" borderId="0" xfId="0" applyFont="1" applyAlignment="1">
      <alignment horizontal="left" indent="1"/>
    </xf>
    <xf numFmtId="0" fontId="3" fillId="4" borderId="0" xfId="0" applyFont="1" applyFill="1" applyAlignment="1">
      <alignment horizontal="left" indent="1"/>
    </xf>
    <xf numFmtId="43" fontId="3" fillId="4" borderId="0" xfId="0" applyNumberFormat="1" applyFont="1" applyFill="1"/>
    <xf numFmtId="41" fontId="71" fillId="4" borderId="0" xfId="1" applyNumberFormat="1" applyFont="1" applyFill="1"/>
    <xf numFmtId="0" fontId="3" fillId="3" borderId="1" xfId="0" applyFont="1" applyFill="1" applyBorder="1"/>
    <xf numFmtId="0" fontId="71" fillId="3" borderId="1" xfId="0" applyFont="1" applyFill="1" applyBorder="1" applyAlignment="1">
      <alignment horizontal="center"/>
    </xf>
    <xf numFmtId="0" fontId="71" fillId="4" borderId="0" xfId="0" applyFont="1" applyFill="1" applyAlignment="1">
      <alignment horizontal="left"/>
    </xf>
    <xf numFmtId="44" fontId="71" fillId="4" borderId="0" xfId="2" applyFont="1" applyFill="1"/>
    <xf numFmtId="165" fontId="71" fillId="4" borderId="0" xfId="2" applyNumberFormat="1" applyFont="1" applyFill="1"/>
    <xf numFmtId="166" fontId="71" fillId="4" borderId="0" xfId="1" applyNumberFormat="1" applyFont="1" applyFill="1"/>
    <xf numFmtId="165" fontId="71" fillId="4" borderId="1" xfId="2" applyNumberFormat="1" applyFont="1" applyFill="1" applyBorder="1"/>
    <xf numFmtId="176" fontId="71" fillId="4" borderId="0" xfId="2" applyNumberFormat="1" applyFont="1" applyFill="1"/>
    <xf numFmtId="166" fontId="71" fillId="4" borderId="1" xfId="1" applyNumberFormat="1" applyFont="1" applyFill="1" applyBorder="1"/>
    <xf numFmtId="10" fontId="71" fillId="4" borderId="0" xfId="0" applyNumberFormat="1" applyFont="1" applyFill="1"/>
    <xf numFmtId="167" fontId="71" fillId="4" borderId="0" xfId="0" applyNumberFormat="1" applyFont="1" applyFill="1"/>
    <xf numFmtId="168" fontId="71" fillId="4" borderId="0" xfId="0" applyNumberFormat="1" applyFont="1" applyFill="1"/>
    <xf numFmtId="166" fontId="71" fillId="4" borderId="0" xfId="0" applyNumberFormat="1" applyFont="1" applyFill="1"/>
    <xf numFmtId="44" fontId="71" fillId="4" borderId="0" xfId="0" applyNumberFormat="1" applyFont="1" applyFill="1"/>
    <xf numFmtId="169" fontId="71" fillId="4" borderId="0" xfId="0" applyNumberFormat="1" applyFont="1" applyFill="1"/>
    <xf numFmtId="170" fontId="71" fillId="4" borderId="0" xfId="0" applyNumberFormat="1" applyFont="1" applyFill="1"/>
    <xf numFmtId="42" fontId="3" fillId="4" borderId="0" xfId="0" applyNumberFormat="1" applyFont="1" applyFill="1"/>
    <xf numFmtId="0" fontId="71" fillId="4" borderId="0" xfId="0" applyFont="1" applyFill="1" applyAlignment="1">
      <alignment horizontal="center"/>
    </xf>
    <xf numFmtId="4" fontId="10" fillId="4" borderId="0" xfId="676" applyNumberFormat="1" applyFont="1" applyFill="1"/>
    <xf numFmtId="172" fontId="10" fillId="4" borderId="0" xfId="676" applyFont="1" applyFill="1"/>
    <xf numFmtId="172" fontId="75" fillId="4" borderId="0" xfId="676" applyFont="1" applyFill="1"/>
    <xf numFmtId="2" fontId="10" fillId="4" borderId="0" xfId="676" applyNumberFormat="1" applyFont="1" applyFill="1"/>
    <xf numFmtId="4" fontId="10" fillId="4" borderId="0" xfId="676" applyNumberFormat="1" applyFont="1" applyFill="1" applyAlignment="1">
      <alignment horizontal="center"/>
    </xf>
    <xf numFmtId="10" fontId="75" fillId="4" borderId="0" xfId="3" applyNumberFormat="1" applyFont="1" applyFill="1" applyBorder="1"/>
    <xf numFmtId="2" fontId="10" fillId="4" borderId="0" xfId="676" applyNumberFormat="1" applyFont="1" applyFill="1" applyAlignment="1">
      <alignment horizontal="right"/>
    </xf>
    <xf numFmtId="14" fontId="76" fillId="42" borderId="0" xfId="676" applyNumberFormat="1" applyFont="1" applyFill="1" applyAlignment="1">
      <alignment horizontal="center"/>
    </xf>
    <xf numFmtId="172" fontId="76" fillId="42" borderId="0" xfId="676" applyFont="1" applyFill="1"/>
    <xf numFmtId="2" fontId="76" fillId="42" borderId="0" xfId="676" applyNumberFormat="1" applyFont="1" applyFill="1" applyAlignment="1">
      <alignment horizontal="center"/>
    </xf>
    <xf numFmtId="0" fontId="10" fillId="42" borderId="0" xfId="677" applyFont="1" applyFill="1" applyAlignment="1">
      <alignment horizontal="center"/>
    </xf>
    <xf numFmtId="4" fontId="76" fillId="42" borderId="0" xfId="676" applyNumberFormat="1" applyFont="1" applyFill="1" applyAlignment="1">
      <alignment horizontal="center"/>
    </xf>
    <xf numFmtId="43" fontId="75" fillId="42" borderId="0" xfId="677" applyNumberFormat="1" applyFont="1" applyFill="1"/>
    <xf numFmtId="4" fontId="75" fillId="6" borderId="0" xfId="676" applyNumberFormat="1" applyFont="1" applyFill="1" applyAlignment="1">
      <alignment horizontal="center"/>
    </xf>
    <xf numFmtId="172" fontId="75" fillId="6" borderId="0" xfId="676" applyFont="1" applyFill="1"/>
    <xf numFmtId="2" fontId="75" fillId="6" borderId="0" xfId="676" applyNumberFormat="1" applyFont="1" applyFill="1" applyAlignment="1">
      <alignment horizontal="right"/>
    </xf>
    <xf numFmtId="2" fontId="75" fillId="6" borderId="0" xfId="676" applyNumberFormat="1" applyFont="1" applyFill="1" applyAlignment="1">
      <alignment horizontal="center"/>
    </xf>
    <xf numFmtId="4" fontId="10" fillId="6" borderId="0" xfId="676" applyNumberFormat="1" applyFont="1" applyFill="1"/>
    <xf numFmtId="43" fontId="10" fillId="4" borderId="0" xfId="677" applyNumberFormat="1" applyFont="1" applyFill="1"/>
    <xf numFmtId="2" fontId="75" fillId="4" borderId="0" xfId="676" applyNumberFormat="1" applyFont="1" applyFill="1" applyAlignment="1">
      <alignment horizontal="right"/>
    </xf>
    <xf numFmtId="172" fontId="10" fillId="4" borderId="0" xfId="676" applyFont="1" applyFill="1" applyAlignment="1">
      <alignment horizontal="right"/>
    </xf>
    <xf numFmtId="172" fontId="10" fillId="6" borderId="0" xfId="676" applyFont="1" applyFill="1" applyAlignment="1">
      <alignment horizontal="right"/>
    </xf>
    <xf numFmtId="2" fontId="10" fillId="6" borderId="0" xfId="676" applyNumberFormat="1" applyFont="1" applyFill="1" applyAlignment="1">
      <alignment horizontal="right"/>
    </xf>
    <xf numFmtId="4" fontId="75" fillId="4" borderId="0" xfId="676" applyNumberFormat="1" applyFont="1" applyFill="1"/>
    <xf numFmtId="172" fontId="10" fillId="6" borderId="0" xfId="676" applyFont="1" applyFill="1"/>
    <xf numFmtId="2" fontId="10" fillId="6" borderId="0" xfId="676" applyNumberFormat="1" applyFont="1" applyFill="1"/>
    <xf numFmtId="2" fontId="75" fillId="4" borderId="0" xfId="676" applyNumberFormat="1" applyFont="1" applyFill="1"/>
    <xf numFmtId="4" fontId="77" fillId="4" borderId="0" xfId="676" applyNumberFormat="1" applyFont="1" applyFill="1"/>
    <xf numFmtId="43" fontId="78" fillId="4" borderId="0" xfId="677" applyNumberFormat="1" applyFont="1" applyFill="1"/>
    <xf numFmtId="172" fontId="77" fillId="4" borderId="0" xfId="676" applyFont="1" applyFill="1"/>
    <xf numFmtId="2" fontId="77" fillId="4" borderId="0" xfId="676" applyNumberFormat="1" applyFont="1" applyFill="1" applyAlignment="1">
      <alignment horizontal="right"/>
    </xf>
    <xf numFmtId="2" fontId="77" fillId="4" borderId="0" xfId="676" applyNumberFormat="1" applyFont="1" applyFill="1"/>
    <xf numFmtId="172" fontId="79" fillId="4" borderId="0" xfId="676" applyFont="1" applyFill="1"/>
    <xf numFmtId="43" fontId="80" fillId="4" borderId="0" xfId="677" applyNumberFormat="1" applyFont="1" applyFill="1"/>
    <xf numFmtId="43" fontId="78" fillId="4" borderId="0" xfId="677" applyNumberFormat="1" applyFont="1" applyFill="1" applyAlignment="1">
      <alignment horizontal="left"/>
    </xf>
    <xf numFmtId="4" fontId="78" fillId="4" borderId="0" xfId="677" applyNumberFormat="1" applyFont="1" applyFill="1"/>
    <xf numFmtId="172" fontId="10" fillId="4" borderId="0" xfId="676" applyFont="1" applyFill="1" applyAlignment="1">
      <alignment horizontal="left"/>
    </xf>
    <xf numFmtId="2" fontId="10" fillId="0" borderId="0" xfId="676" applyNumberFormat="1" applyFont="1" applyAlignment="1">
      <alignment horizontal="right"/>
    </xf>
    <xf numFmtId="43" fontId="10" fillId="4" borderId="0" xfId="1" applyFont="1" applyFill="1" applyBorder="1"/>
    <xf numFmtId="1" fontId="75" fillId="4" borderId="0" xfId="403" applyNumberFormat="1" applyFont="1" applyFill="1" applyAlignment="1">
      <alignment horizontal="left"/>
    </xf>
    <xf numFmtId="0" fontId="71" fillId="4" borderId="0" xfId="0" applyFont="1" applyFill="1" applyAlignment="1">
      <alignment horizontal="right"/>
    </xf>
    <xf numFmtId="164" fontId="71" fillId="0" borderId="0" xfId="1" applyNumberFormat="1" applyFont="1" applyFill="1"/>
    <xf numFmtId="164" fontId="71" fillId="4" borderId="1" xfId="1" applyNumberFormat="1" applyFont="1" applyFill="1" applyBorder="1"/>
    <xf numFmtId="0" fontId="3" fillId="4" borderId="0" xfId="0" applyFont="1" applyFill="1" applyAlignment="1">
      <alignment vertical="center"/>
    </xf>
    <xf numFmtId="0" fontId="70" fillId="4" borderId="0" xfId="4" applyFont="1" applyFill="1" applyAlignment="1">
      <alignment vertical="center"/>
    </xf>
    <xf numFmtId="0" fontId="71" fillId="4" borderId="0" xfId="0" applyFont="1" applyFill="1" applyAlignment="1">
      <alignment vertical="center"/>
    </xf>
    <xf numFmtId="164" fontId="71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4" borderId="0" xfId="4" applyFont="1" applyFill="1" applyAlignment="1">
      <alignment horizontal="left" vertical="center"/>
    </xf>
    <xf numFmtId="0" fontId="6" fillId="4" borderId="0" xfId="4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7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left" vertical="center"/>
    </xf>
    <xf numFmtId="0" fontId="9" fillId="6" borderId="0" xfId="4" applyFont="1" applyFill="1" applyAlignment="1">
      <alignment vertical="center"/>
    </xf>
    <xf numFmtId="0" fontId="10" fillId="4" borderId="0" xfId="0" applyFont="1" applyFill="1" applyAlignment="1">
      <alignment vertical="center"/>
    </xf>
    <xf numFmtId="44" fontId="71" fillId="4" borderId="0" xfId="2" applyFont="1" applyFill="1" applyAlignment="1">
      <alignment vertical="center"/>
    </xf>
    <xf numFmtId="43" fontId="71" fillId="4" borderId="0" xfId="0" applyNumberFormat="1" applyFont="1" applyFill="1" applyAlignment="1">
      <alignment vertical="center"/>
    </xf>
    <xf numFmtId="164" fontId="71" fillId="4" borderId="0" xfId="0" applyNumberFormat="1" applyFont="1" applyFill="1" applyAlignment="1">
      <alignment vertical="center"/>
    </xf>
    <xf numFmtId="0" fontId="70" fillId="4" borderId="0" xfId="5" applyFont="1" applyFill="1" applyAlignment="1">
      <alignment vertical="center"/>
    </xf>
    <xf numFmtId="0" fontId="72" fillId="4" borderId="0" xfId="4" applyFont="1" applyFill="1" applyAlignment="1">
      <alignment horizontal="right" vertical="center"/>
    </xf>
    <xf numFmtId="44" fontId="71" fillId="4" borderId="2" xfId="2" applyFont="1" applyFill="1" applyBorder="1" applyAlignment="1">
      <alignment vertical="center"/>
    </xf>
    <xf numFmtId="0" fontId="71" fillId="4" borderId="2" xfId="0" applyFont="1" applyFill="1" applyBorder="1" applyAlignment="1">
      <alignment vertical="center"/>
    </xf>
    <xf numFmtId="164" fontId="71" fillId="4" borderId="2" xfId="1" applyNumberFormat="1" applyFont="1" applyFill="1" applyBorder="1" applyAlignment="1">
      <alignment vertical="center"/>
    </xf>
    <xf numFmtId="0" fontId="5" fillId="4" borderId="0" xfId="4" applyFont="1" applyFill="1" applyAlignment="1">
      <alignment vertical="center"/>
    </xf>
    <xf numFmtId="43" fontId="71" fillId="4" borderId="0" xfId="1" applyFont="1" applyFill="1" applyAlignment="1">
      <alignment vertical="center"/>
    </xf>
    <xf numFmtId="44" fontId="71" fillId="4" borderId="0" xfId="2" quotePrefix="1" applyFont="1" applyFill="1" applyAlignment="1">
      <alignment vertical="center"/>
    </xf>
    <xf numFmtId="0" fontId="10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44" fontId="71" fillId="0" borderId="0" xfId="2" applyFont="1" applyFill="1" applyAlignment="1">
      <alignment vertical="center"/>
    </xf>
    <xf numFmtId="164" fontId="71" fillId="0" borderId="0" xfId="1" applyNumberFormat="1" applyFont="1" applyFill="1" applyAlignment="1">
      <alignment vertical="center"/>
    </xf>
    <xf numFmtId="43" fontId="71" fillId="0" borderId="0" xfId="0" applyNumberFormat="1" applyFont="1" applyAlignment="1">
      <alignment vertical="center"/>
    </xf>
    <xf numFmtId="43" fontId="71" fillId="0" borderId="0" xfId="1" applyFont="1" applyFill="1" applyAlignment="1">
      <alignment vertical="center"/>
    </xf>
    <xf numFmtId="164" fontId="71" fillId="4" borderId="2" xfId="0" applyNumberFormat="1" applyFont="1" applyFill="1" applyBorder="1" applyAlignment="1">
      <alignment vertical="center"/>
    </xf>
    <xf numFmtId="44" fontId="71" fillId="4" borderId="3" xfId="2" applyFont="1" applyFill="1" applyBorder="1" applyAlignment="1">
      <alignment vertical="center"/>
    </xf>
    <xf numFmtId="43" fontId="71" fillId="4" borderId="3" xfId="0" applyNumberFormat="1" applyFont="1" applyFill="1" applyBorder="1" applyAlignment="1">
      <alignment vertical="center"/>
    </xf>
    <xf numFmtId="44" fontId="71" fillId="4" borderId="0" xfId="0" applyNumberFormat="1" applyFont="1" applyFill="1" applyAlignment="1">
      <alignment vertical="center"/>
    </xf>
    <xf numFmtId="0" fontId="82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164" fontId="3" fillId="4" borderId="1" xfId="1" applyNumberFormat="1" applyFont="1" applyFill="1" applyBorder="1" applyAlignment="1">
      <alignment horizontal="center" vertical="center"/>
    </xf>
    <xf numFmtId="164" fontId="71" fillId="4" borderId="0" xfId="1" applyNumberFormat="1" applyFont="1" applyFill="1" applyBorder="1" applyAlignment="1">
      <alignment vertical="center"/>
    </xf>
    <xf numFmtId="164" fontId="71" fillId="4" borderId="0" xfId="1" applyNumberFormat="1" applyFont="1" applyFill="1" applyBorder="1" applyAlignment="1">
      <alignment horizontal="right" vertical="center"/>
    </xf>
    <xf numFmtId="177" fontId="71" fillId="4" borderId="0" xfId="0" applyNumberFormat="1" applyFont="1" applyFill="1" applyAlignment="1">
      <alignment vertical="center"/>
    </xf>
    <xf numFmtId="3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10" fontId="3" fillId="4" borderId="0" xfId="3" applyNumberFormat="1" applyFont="1" applyFill="1" applyBorder="1" applyAlignment="1">
      <alignment horizontal="right" vertical="center"/>
    </xf>
    <xf numFmtId="10" fontId="71" fillId="4" borderId="0" xfId="3" applyNumberFormat="1" applyFont="1" applyFill="1" applyBorder="1" applyAlignment="1">
      <alignment horizontal="right" vertical="center"/>
    </xf>
    <xf numFmtId="3" fontId="71" fillId="4" borderId="0" xfId="0" applyNumberFormat="1" applyFont="1" applyFill="1" applyAlignment="1">
      <alignment vertical="center"/>
    </xf>
    <xf numFmtId="164" fontId="81" fillId="4" borderId="0" xfId="1" applyNumberFormat="1" applyFont="1" applyFill="1" applyBorder="1" applyAlignment="1">
      <alignment vertical="center"/>
    </xf>
    <xf numFmtId="0" fontId="81" fillId="4" borderId="0" xfId="0" applyFont="1" applyFill="1" applyAlignment="1">
      <alignment horizontal="center" vertical="center"/>
    </xf>
    <xf numFmtId="165" fontId="71" fillId="4" borderId="0" xfId="2" applyNumberFormat="1" applyFont="1" applyFill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10" fontId="71" fillId="4" borderId="0" xfId="1" applyNumberFormat="1" applyFont="1" applyFill="1" applyBorder="1" applyAlignment="1">
      <alignment vertical="center"/>
    </xf>
    <xf numFmtId="0" fontId="73" fillId="4" borderId="0" xfId="4" applyFont="1" applyFill="1" applyAlignment="1">
      <alignment horizontal="left" vertical="center" wrapText="1"/>
    </xf>
    <xf numFmtId="0" fontId="73" fillId="4" borderId="0" xfId="4" applyFont="1" applyFill="1" applyAlignment="1">
      <alignment horizontal="center" vertical="center" wrapText="1"/>
    </xf>
    <xf numFmtId="0" fontId="71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72" fillId="4" borderId="0" xfId="4" applyFont="1" applyFill="1" applyAlignment="1">
      <alignment vertical="center"/>
    </xf>
    <xf numFmtId="3" fontId="3" fillId="4" borderId="29" xfId="0" applyNumberFormat="1" applyFont="1" applyFill="1" applyBorder="1" applyAlignment="1">
      <alignment vertical="center"/>
    </xf>
    <xf numFmtId="10" fontId="71" fillId="4" borderId="0" xfId="0" applyNumberFormat="1" applyFont="1" applyFill="1" applyAlignment="1">
      <alignment horizontal="center" vertical="center"/>
    </xf>
    <xf numFmtId="10" fontId="3" fillId="4" borderId="29" xfId="0" applyNumberFormat="1" applyFont="1" applyFill="1" applyBorder="1" applyAlignment="1">
      <alignment horizontal="center" vertical="center"/>
    </xf>
    <xf numFmtId="44" fontId="71" fillId="4" borderId="0" xfId="2" applyFont="1" applyFill="1" applyBorder="1" applyAlignment="1">
      <alignment vertical="center"/>
    </xf>
    <xf numFmtId="44" fontId="71" fillId="0" borderId="0" xfId="0" applyNumberFormat="1" applyFont="1" applyAlignment="1">
      <alignment vertical="center"/>
    </xf>
    <xf numFmtId="165" fontId="71" fillId="0" borderId="1" xfId="2" applyNumberFormat="1" applyFont="1" applyFill="1" applyBorder="1"/>
    <xf numFmtId="0" fontId="83" fillId="0" borderId="0" xfId="4" applyFont="1" applyAlignment="1">
      <alignment vertical="center" wrapText="1"/>
    </xf>
    <xf numFmtId="0" fontId="3" fillId="0" borderId="0" xfId="0" applyFont="1" applyAlignment="1">
      <alignment horizontal="center" wrapText="1"/>
    </xf>
    <xf numFmtId="4" fontId="80" fillId="4" borderId="0" xfId="677" applyNumberFormat="1" applyFont="1" applyFill="1"/>
    <xf numFmtId="0" fontId="84" fillId="4" borderId="0" xfId="677" applyFont="1" applyFill="1"/>
    <xf numFmtId="0" fontId="15" fillId="4" borderId="0" xfId="677" applyFill="1"/>
    <xf numFmtId="0" fontId="3" fillId="0" borderId="2" xfId="0" applyFont="1" applyBorder="1" applyAlignment="1">
      <alignment horizontal="center" vertical="center" wrapText="1"/>
    </xf>
    <xf numFmtId="44" fontId="71" fillId="43" borderId="0" xfId="2" applyFont="1" applyFill="1" applyAlignment="1">
      <alignment vertical="center"/>
    </xf>
    <xf numFmtId="0" fontId="72" fillId="43" borderId="0" xfId="4" applyFont="1" applyFill="1" applyAlignment="1">
      <alignment vertical="center"/>
    </xf>
    <xf numFmtId="0" fontId="71" fillId="4" borderId="29" xfId="0" applyFont="1" applyFill="1" applyBorder="1"/>
    <xf numFmtId="0" fontId="71" fillId="4" borderId="0" xfId="0" applyFont="1" applyFill="1" applyAlignment="1">
      <alignment horizontal="centerContinuous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Continuous"/>
    </xf>
    <xf numFmtId="0" fontId="85" fillId="0" borderId="0" xfId="0" applyFont="1"/>
    <xf numFmtId="0" fontId="0" fillId="0" borderId="38" xfId="0" applyBorder="1"/>
    <xf numFmtId="0" fontId="85" fillId="0" borderId="0" xfId="0" applyFont="1" applyAlignment="1">
      <alignment horizontal="center"/>
    </xf>
    <xf numFmtId="0" fontId="0" fillId="0" borderId="39" xfId="0" applyBorder="1"/>
    <xf numFmtId="44" fontId="0" fillId="0" borderId="0" xfId="2" applyFont="1" applyBorder="1"/>
    <xf numFmtId="0" fontId="0" fillId="46" borderId="38" xfId="0" applyFill="1" applyBorder="1"/>
    <xf numFmtId="43" fontId="0" fillId="46" borderId="0" xfId="1" applyFont="1" applyFill="1" applyBorder="1"/>
    <xf numFmtId="44" fontId="0" fillId="46" borderId="0" xfId="2" applyFont="1" applyFill="1" applyBorder="1"/>
    <xf numFmtId="44" fontId="0" fillId="0" borderId="39" xfId="2" applyFont="1" applyBorder="1"/>
    <xf numFmtId="0" fontId="0" fillId="0" borderId="39" xfId="0" quotePrefix="1" applyBorder="1"/>
    <xf numFmtId="44" fontId="0" fillId="0" borderId="0" xfId="0" applyNumberFormat="1"/>
    <xf numFmtId="43" fontId="0" fillId="46" borderId="3" xfId="1" applyFont="1" applyFill="1" applyBorder="1"/>
    <xf numFmtId="44" fontId="0" fillId="46" borderId="3" xfId="2" applyFont="1" applyFill="1" applyBorder="1"/>
    <xf numFmtId="44" fontId="0" fillId="0" borderId="0" xfId="2" applyFont="1" applyFill="1" applyBorder="1"/>
    <xf numFmtId="43" fontId="0" fillId="0" borderId="0" xfId="1" applyFont="1" applyBorder="1"/>
    <xf numFmtId="44" fontId="0" fillId="0" borderId="3" xfId="2" applyFont="1" applyBorder="1"/>
    <xf numFmtId="44" fontId="0" fillId="0" borderId="0" xfId="2" applyFont="1"/>
    <xf numFmtId="0" fontId="0" fillId="0" borderId="38" xfId="0" quotePrefix="1" applyBorder="1"/>
    <xf numFmtId="10" fontId="86" fillId="0" borderId="0" xfId="679" applyNumberFormat="1" applyFont="1" applyBorder="1"/>
    <xf numFmtId="0" fontId="87" fillId="0" borderId="39" xfId="0" quotePrefix="1" applyFont="1" applyBorder="1"/>
    <xf numFmtId="0" fontId="86" fillId="0" borderId="33" xfId="0" applyFont="1" applyBorder="1"/>
    <xf numFmtId="44" fontId="86" fillId="0" borderId="40" xfId="0" applyNumberFormat="1" applyFont="1" applyBorder="1"/>
    <xf numFmtId="0" fontId="0" fillId="0" borderId="34" xfId="0" applyBorder="1"/>
    <xf numFmtId="0" fontId="86" fillId="0" borderId="0" xfId="0" applyFont="1"/>
    <xf numFmtId="0" fontId="0" fillId="47" borderId="38" xfId="0" applyFill="1" applyBorder="1"/>
    <xf numFmtId="43" fontId="0" fillId="47" borderId="0" xfId="1" applyFont="1" applyFill="1" applyBorder="1"/>
    <xf numFmtId="44" fontId="0" fillId="47" borderId="0" xfId="2" applyFont="1" applyFill="1" applyBorder="1"/>
    <xf numFmtId="168" fontId="0" fillId="0" borderId="0" xfId="679" applyNumberFormat="1" applyFont="1"/>
    <xf numFmtId="0" fontId="0" fillId="0" borderId="38" xfId="0" applyBorder="1" applyAlignment="1">
      <alignment horizontal="right"/>
    </xf>
    <xf numFmtId="43" fontId="0" fillId="47" borderId="3" xfId="1" applyFont="1" applyFill="1" applyBorder="1"/>
    <xf numFmtId="44" fontId="0" fillId="47" borderId="3" xfId="2" applyFont="1" applyFill="1" applyBorder="1"/>
    <xf numFmtId="0" fontId="0" fillId="0" borderId="33" xfId="0" applyBorder="1"/>
    <xf numFmtId="0" fontId="0" fillId="0" borderId="40" xfId="0" applyBorder="1"/>
    <xf numFmtId="43" fontId="0" fillId="0" borderId="40" xfId="1" applyFont="1" applyBorder="1"/>
    <xf numFmtId="43" fontId="0" fillId="0" borderId="0" xfId="1" applyFont="1"/>
    <xf numFmtId="0" fontId="85" fillId="0" borderId="39" xfId="0" applyFont="1" applyBorder="1" applyAlignment="1">
      <alignment horizontal="center"/>
    </xf>
    <xf numFmtId="43" fontId="0" fillId="0" borderId="0" xfId="0" applyNumberFormat="1"/>
    <xf numFmtId="0" fontId="0" fillId="0" borderId="38" xfId="0" applyBorder="1" applyAlignment="1">
      <alignment wrapText="1"/>
    </xf>
    <xf numFmtId="43" fontId="0" fillId="0" borderId="3" xfId="1" applyFont="1" applyBorder="1"/>
    <xf numFmtId="44" fontId="0" fillId="0" borderId="41" xfId="2" applyFont="1" applyBorder="1"/>
    <xf numFmtId="44" fontId="0" fillId="0" borderId="34" xfId="2" applyFont="1" applyBorder="1"/>
    <xf numFmtId="10" fontId="0" fillId="0" borderId="0" xfId="680" applyNumberFormat="1" applyFont="1" applyBorder="1"/>
    <xf numFmtId="10" fontId="0" fillId="0" borderId="40" xfId="680" applyNumberFormat="1" applyFont="1" applyBorder="1"/>
    <xf numFmtId="164" fontId="3" fillId="48" borderId="0" xfId="1" applyNumberFormat="1" applyFont="1" applyFill="1" applyBorder="1" applyAlignment="1">
      <alignment horizontal="right" vertical="center"/>
    </xf>
    <xf numFmtId="0" fontId="71" fillId="4" borderId="30" xfId="0" applyFont="1" applyFill="1" applyBorder="1" applyAlignment="1">
      <alignment vertical="center"/>
    </xf>
    <xf numFmtId="0" fontId="3" fillId="4" borderId="31" xfId="0" applyFont="1" applyFill="1" applyBorder="1" applyAlignment="1">
      <alignment horizontal="right" vertical="center"/>
    </xf>
    <xf numFmtId="177" fontId="3" fillId="4" borderId="31" xfId="0" applyNumberFormat="1" applyFont="1" applyFill="1" applyBorder="1" applyAlignment="1">
      <alignment vertical="center"/>
    </xf>
    <xf numFmtId="10" fontId="3" fillId="4" borderId="32" xfId="3" applyNumberFormat="1" applyFont="1" applyFill="1" applyBorder="1" applyAlignment="1">
      <alignment horizontal="center" vertical="center"/>
    </xf>
    <xf numFmtId="0" fontId="71" fillId="4" borderId="38" xfId="0" applyFont="1" applyFill="1" applyBorder="1" applyAlignment="1">
      <alignment vertical="center"/>
    </xf>
    <xf numFmtId="177" fontId="3" fillId="4" borderId="0" xfId="0" applyNumberFormat="1" applyFont="1" applyFill="1" applyAlignment="1">
      <alignment vertical="center"/>
    </xf>
    <xf numFmtId="10" fontId="3" fillId="4" borderId="39" xfId="3" applyNumberFormat="1" applyFont="1" applyFill="1" applyBorder="1" applyAlignment="1">
      <alignment horizontal="center" vertical="center"/>
    </xf>
    <xf numFmtId="0" fontId="71" fillId="4" borderId="39" xfId="0" applyFont="1" applyFill="1" applyBorder="1" applyAlignment="1">
      <alignment vertical="center"/>
    </xf>
    <xf numFmtId="0" fontId="71" fillId="4" borderId="0" xfId="0" applyFont="1" applyFill="1" applyAlignment="1">
      <alignment horizontal="right" vertical="center"/>
    </xf>
    <xf numFmtId="10" fontId="3" fillId="4" borderId="39" xfId="0" applyNumberFormat="1" applyFont="1" applyFill="1" applyBorder="1" applyAlignment="1">
      <alignment horizontal="center" vertical="center"/>
    </xf>
    <xf numFmtId="0" fontId="71" fillId="4" borderId="33" xfId="0" applyFont="1" applyFill="1" applyBorder="1" applyAlignment="1">
      <alignment vertical="center"/>
    </xf>
    <xf numFmtId="0" fontId="71" fillId="4" borderId="40" xfId="0" applyFont="1" applyFill="1" applyBorder="1" applyAlignment="1">
      <alignment vertical="center"/>
    </xf>
    <xf numFmtId="177" fontId="71" fillId="4" borderId="34" xfId="0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Alignment="1">
      <alignment vertical="center"/>
    </xf>
    <xf numFmtId="44" fontId="71" fillId="45" borderId="1" xfId="2" applyFont="1" applyFill="1" applyBorder="1"/>
    <xf numFmtId="0" fontId="88" fillId="45" borderId="35" xfId="0" applyFont="1" applyFill="1" applyBorder="1"/>
    <xf numFmtId="0" fontId="0" fillId="45" borderId="36" xfId="0" applyFill="1" applyBorder="1"/>
    <xf numFmtId="0" fontId="0" fillId="45" borderId="37" xfId="0" applyFill="1" applyBorder="1"/>
    <xf numFmtId="164" fontId="71" fillId="0" borderId="0" xfId="0" applyNumberFormat="1" applyFont="1" applyAlignment="1">
      <alignment vertical="center"/>
    </xf>
    <xf numFmtId="0" fontId="10" fillId="0" borderId="0" xfId="0" applyFont="1"/>
    <xf numFmtId="0" fontId="72" fillId="0" borderId="0" xfId="4" applyFont="1" applyAlignment="1">
      <alignment vertical="center"/>
    </xf>
    <xf numFmtId="4" fontId="10" fillId="0" borderId="0" xfId="676" applyNumberFormat="1" applyFont="1"/>
    <xf numFmtId="172" fontId="10" fillId="0" borderId="0" xfId="676" applyFont="1"/>
    <xf numFmtId="2" fontId="10" fillId="0" borderId="0" xfId="676" applyNumberFormat="1" applyFont="1"/>
    <xf numFmtId="4" fontId="89" fillId="4" borderId="0" xfId="676" applyNumberFormat="1" applyFont="1" applyFill="1"/>
    <xf numFmtId="177" fontId="71" fillId="4" borderId="2" xfId="2" applyNumberFormat="1" applyFont="1" applyFill="1" applyBorder="1" applyAlignment="1">
      <alignment vertical="center"/>
    </xf>
    <xf numFmtId="4" fontId="75" fillId="0" borderId="0" xfId="676" applyNumberFormat="1" applyFont="1"/>
    <xf numFmtId="172" fontId="75" fillId="0" borderId="0" xfId="676" applyFont="1"/>
    <xf numFmtId="2" fontId="75" fillId="0" borderId="0" xfId="676" applyNumberFormat="1" applyFont="1" applyAlignment="1">
      <alignment horizontal="right"/>
    </xf>
    <xf numFmtId="2" fontId="75" fillId="0" borderId="0" xfId="676" applyNumberFormat="1" applyFont="1"/>
    <xf numFmtId="4" fontId="77" fillId="0" borderId="0" xfId="676" applyNumberFormat="1" applyFont="1"/>
    <xf numFmtId="172" fontId="77" fillId="0" borderId="0" xfId="676" applyFont="1"/>
    <xf numFmtId="2" fontId="77" fillId="0" borderId="0" xfId="676" applyNumberFormat="1" applyFont="1" applyAlignment="1">
      <alignment horizontal="right"/>
    </xf>
    <xf numFmtId="2" fontId="77" fillId="0" borderId="0" xfId="676" applyNumberFormat="1" applyFont="1"/>
    <xf numFmtId="0" fontId="71" fillId="49" borderId="0" xfId="0" applyFont="1" applyFill="1" applyAlignment="1">
      <alignment vertical="center"/>
    </xf>
    <xf numFmtId="1" fontId="71" fillId="49" borderId="0" xfId="0" applyNumberFormat="1" applyFont="1" applyFill="1" applyAlignment="1">
      <alignment vertical="center"/>
    </xf>
    <xf numFmtId="44" fontId="71" fillId="49" borderId="0" xfId="2" applyFont="1" applyFill="1" applyAlignment="1">
      <alignment vertical="center"/>
    </xf>
    <xf numFmtId="0" fontId="10" fillId="43" borderId="0" xfId="0" applyFont="1" applyFill="1" applyAlignment="1">
      <alignment vertical="center"/>
    </xf>
    <xf numFmtId="0" fontId="71" fillId="43" borderId="0" xfId="0" applyFont="1" applyFill="1" applyAlignment="1">
      <alignment vertical="center"/>
    </xf>
    <xf numFmtId="164" fontId="71" fillId="43" borderId="0" xfId="1" applyNumberFormat="1" applyFont="1" applyFill="1" applyAlignment="1">
      <alignment vertical="center"/>
    </xf>
    <xf numFmtId="164" fontId="71" fillId="43" borderId="0" xfId="0" applyNumberFormat="1" applyFont="1" applyFill="1" applyAlignment="1">
      <alignment vertical="center"/>
    </xf>
    <xf numFmtId="164" fontId="71" fillId="49" borderId="0" xfId="1" applyNumberFormat="1" applyFont="1" applyFill="1" applyAlignment="1">
      <alignment vertical="center"/>
    </xf>
    <xf numFmtId="41" fontId="71" fillId="49" borderId="0" xfId="0" applyNumberFormat="1" applyFont="1" applyFill="1" applyAlignment="1">
      <alignment vertical="center"/>
    </xf>
    <xf numFmtId="44" fontId="71" fillId="49" borderId="0" xfId="2" quotePrefix="1" applyFont="1" applyFill="1" applyAlignment="1">
      <alignment vertical="center"/>
    </xf>
    <xf numFmtId="10" fontId="3" fillId="4" borderId="0" xfId="0" applyNumberFormat="1" applyFont="1" applyFill="1" applyAlignment="1">
      <alignment horizontal="center" vertical="center"/>
    </xf>
    <xf numFmtId="164" fontId="71" fillId="43" borderId="0" xfId="1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vertical="center"/>
    </xf>
    <xf numFmtId="0" fontId="5" fillId="43" borderId="0" xfId="4" applyFont="1" applyFill="1" applyAlignment="1">
      <alignment vertical="center"/>
    </xf>
    <xf numFmtId="0" fontId="71" fillId="43" borderId="0" xfId="1" applyNumberFormat="1" applyFont="1" applyFill="1" applyBorder="1" applyAlignment="1">
      <alignment vertical="center"/>
    </xf>
    <xf numFmtId="43" fontId="10" fillId="0" borderId="0" xfId="1" applyFont="1" applyAlignment="1">
      <alignment horizontal="right"/>
    </xf>
    <xf numFmtId="43" fontId="10" fillId="4" borderId="0" xfId="1" applyFont="1" applyFill="1" applyAlignment="1">
      <alignment horizontal="right"/>
    </xf>
    <xf numFmtId="43" fontId="10" fillId="6" borderId="0" xfId="1" applyFont="1" applyFill="1" applyAlignment="1">
      <alignment horizontal="right"/>
    </xf>
    <xf numFmtId="43" fontId="10" fillId="0" borderId="0" xfId="1" applyFont="1"/>
    <xf numFmtId="43" fontId="10" fillId="4" borderId="0" xfId="1" applyFont="1" applyFill="1"/>
    <xf numFmtId="43" fontId="10" fillId="6" borderId="0" xfId="1" applyFont="1" applyFill="1"/>
    <xf numFmtId="43" fontId="75" fillId="4" borderId="0" xfId="1" applyFont="1" applyFill="1"/>
    <xf numFmtId="43" fontId="77" fillId="4" borderId="0" xfId="1" applyFont="1" applyFill="1"/>
    <xf numFmtId="43" fontId="75" fillId="0" borderId="0" xfId="1" applyFont="1"/>
    <xf numFmtId="43" fontId="77" fillId="0" borderId="0" xfId="1" applyFont="1"/>
    <xf numFmtId="166" fontId="71" fillId="0" borderId="0" xfId="1" applyNumberFormat="1" applyFont="1" applyFill="1" applyBorder="1"/>
    <xf numFmtId="43" fontId="71" fillId="4" borderId="1" xfId="1" applyFont="1" applyFill="1" applyBorder="1"/>
    <xf numFmtId="43" fontId="71" fillId="4" borderId="29" xfId="1" applyFont="1" applyFill="1" applyBorder="1"/>
    <xf numFmtId="43" fontId="71" fillId="0" borderId="1" xfId="1" applyFont="1" applyFill="1" applyBorder="1"/>
    <xf numFmtId="43" fontId="71" fillId="0" borderId="0" xfId="1" applyFont="1" applyFill="1"/>
    <xf numFmtId="44" fontId="71" fillId="45" borderId="0" xfId="2" applyFont="1" applyFill="1"/>
    <xf numFmtId="0" fontId="0" fillId="0" borderId="0" xfId="0" applyAlignment="1">
      <alignment horizontal="center" vertical="center"/>
    </xf>
    <xf numFmtId="43" fontId="10" fillId="0" borderId="0" xfId="1" applyFont="1" applyFill="1"/>
    <xf numFmtId="0" fontId="83" fillId="45" borderId="35" xfId="4" applyFont="1" applyFill="1" applyBorder="1" applyAlignment="1">
      <alignment horizontal="left" vertical="center" wrapText="1"/>
    </xf>
    <xf numFmtId="0" fontId="83" fillId="45" borderId="36" xfId="4" applyFont="1" applyFill="1" applyBorder="1" applyAlignment="1">
      <alignment horizontal="left" vertical="center" wrapText="1"/>
    </xf>
    <xf numFmtId="0" fontId="83" fillId="45" borderId="37" xfId="4" applyFont="1" applyFill="1" applyBorder="1" applyAlignment="1">
      <alignment horizontal="left" vertical="center" wrapText="1"/>
    </xf>
    <xf numFmtId="0" fontId="71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1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83" fillId="44" borderId="31" xfId="4" applyFont="1" applyFill="1" applyBorder="1" applyAlignment="1">
      <alignment horizontal="left" vertical="center" wrapText="1"/>
    </xf>
    <xf numFmtId="0" fontId="83" fillId="44" borderId="32" xfId="4" applyFont="1" applyFill="1" applyBorder="1" applyAlignment="1">
      <alignment horizontal="left" vertical="center" wrapText="1"/>
    </xf>
    <xf numFmtId="0" fontId="83" fillId="44" borderId="24" xfId="4" applyFont="1" applyFill="1" applyBorder="1" applyAlignment="1">
      <alignment horizontal="left" vertical="center" wrapText="1"/>
    </xf>
    <xf numFmtId="0" fontId="83" fillId="44" borderId="34" xfId="4" applyFont="1" applyFill="1" applyBorder="1" applyAlignment="1">
      <alignment horizontal="left" vertical="center" wrapText="1"/>
    </xf>
    <xf numFmtId="0" fontId="85" fillId="45" borderId="30" xfId="0" applyFont="1" applyFill="1" applyBorder="1" applyAlignment="1">
      <alignment horizontal="center"/>
    </xf>
    <xf numFmtId="0" fontId="85" fillId="45" borderId="31" xfId="0" applyFont="1" applyFill="1" applyBorder="1" applyAlignment="1">
      <alignment horizontal="center"/>
    </xf>
    <xf numFmtId="0" fontId="85" fillId="45" borderId="32" xfId="0" applyFont="1" applyFill="1" applyBorder="1" applyAlignment="1">
      <alignment horizontal="center"/>
    </xf>
    <xf numFmtId="0" fontId="85" fillId="0" borderId="0" xfId="0" applyFont="1" applyAlignment="1">
      <alignment horizontal="left" wrapText="1"/>
    </xf>
    <xf numFmtId="4" fontId="91" fillId="0" borderId="0" xfId="676" applyNumberFormat="1" applyFont="1"/>
    <xf numFmtId="43" fontId="91" fillId="0" borderId="0" xfId="1" applyFont="1"/>
    <xf numFmtId="172" fontId="91" fillId="0" borderId="0" xfId="676" applyFont="1"/>
    <xf numFmtId="2" fontId="91" fillId="0" borderId="0" xfId="676" applyNumberFormat="1" applyFont="1" applyAlignment="1">
      <alignment horizontal="right"/>
    </xf>
    <xf numFmtId="2" fontId="91" fillId="0" borderId="0" xfId="676" applyNumberFormat="1" applyFont="1"/>
  </cellXfs>
  <cellStyles count="681">
    <cellStyle name="20% - Accent1 2" xfId="6" xr:uid="{00000000-0005-0000-0000-000000000000}"/>
    <cellStyle name="20% - Accent1 2 2" xfId="7" xr:uid="{00000000-0005-0000-0000-000001000000}"/>
    <cellStyle name="20% - Accent1 2 3" xfId="8" xr:uid="{00000000-0005-0000-0000-000002000000}"/>
    <cellStyle name="20% - Accent1 3" xfId="9" xr:uid="{00000000-0005-0000-0000-000003000000}"/>
    <cellStyle name="20% - Accent1 3 2" xfId="10" xr:uid="{00000000-0005-0000-0000-000004000000}"/>
    <cellStyle name="20% - Accent1 3 3" xfId="11" xr:uid="{00000000-0005-0000-0000-000005000000}"/>
    <cellStyle name="20% - Accent1 4" xfId="12" xr:uid="{00000000-0005-0000-0000-000006000000}"/>
    <cellStyle name="20% - Accent2 2" xfId="13" xr:uid="{00000000-0005-0000-0000-000007000000}"/>
    <cellStyle name="20% - Accent2 3" xfId="14" xr:uid="{00000000-0005-0000-0000-000008000000}"/>
    <cellStyle name="20% - Accent2 3 2" xfId="15" xr:uid="{00000000-0005-0000-0000-000009000000}"/>
    <cellStyle name="20% - Accent3 2" xfId="16" xr:uid="{00000000-0005-0000-0000-00000A000000}"/>
    <cellStyle name="20% - Accent3 3" xfId="17" xr:uid="{00000000-0005-0000-0000-00000B000000}"/>
    <cellStyle name="20% - Accent3 3 2" xfId="18" xr:uid="{00000000-0005-0000-0000-00000C000000}"/>
    <cellStyle name="20% - Accent4 2" xfId="19" xr:uid="{00000000-0005-0000-0000-00000D000000}"/>
    <cellStyle name="20% - Accent4 2 2" xfId="20" xr:uid="{00000000-0005-0000-0000-00000E000000}"/>
    <cellStyle name="20% - Accent4 2 3" xfId="21" xr:uid="{00000000-0005-0000-0000-00000F000000}"/>
    <cellStyle name="20% - Accent4 3" xfId="22" xr:uid="{00000000-0005-0000-0000-000010000000}"/>
    <cellStyle name="20% - Accent4 3 2" xfId="23" xr:uid="{00000000-0005-0000-0000-000011000000}"/>
    <cellStyle name="20% - Accent4 3 3" xfId="24" xr:uid="{00000000-0005-0000-0000-000012000000}"/>
    <cellStyle name="20% - Accent4 4" xfId="25" xr:uid="{00000000-0005-0000-0000-000013000000}"/>
    <cellStyle name="20% - Accent5 2" xfId="26" xr:uid="{00000000-0005-0000-0000-000014000000}"/>
    <cellStyle name="20% - Accent5 3" xfId="27" xr:uid="{00000000-0005-0000-0000-000015000000}"/>
    <cellStyle name="20% - Accent6 2" xfId="28" xr:uid="{00000000-0005-0000-0000-000016000000}"/>
    <cellStyle name="20% - Accent6 3" xfId="29" xr:uid="{00000000-0005-0000-0000-000017000000}"/>
    <cellStyle name="20% - Accent6 3 2" xfId="30" xr:uid="{00000000-0005-0000-0000-000018000000}"/>
    <cellStyle name="40% - Accent1 2" xfId="31" xr:uid="{00000000-0005-0000-0000-000019000000}"/>
    <cellStyle name="40% - Accent1 2 2" xfId="32" xr:uid="{00000000-0005-0000-0000-00001A000000}"/>
    <cellStyle name="40% - Accent1 3" xfId="33" xr:uid="{00000000-0005-0000-0000-00001B000000}"/>
    <cellStyle name="40% - Accent1 3 2" xfId="34" xr:uid="{00000000-0005-0000-0000-00001C000000}"/>
    <cellStyle name="40% - Accent1 3 3" xfId="35" xr:uid="{00000000-0005-0000-0000-00001D000000}"/>
    <cellStyle name="40% - Accent1 4" xfId="36" xr:uid="{00000000-0005-0000-0000-00001E000000}"/>
    <cellStyle name="40% - Accent2 2" xfId="37" xr:uid="{00000000-0005-0000-0000-00001F000000}"/>
    <cellStyle name="40% - Accent2 3" xfId="38" xr:uid="{00000000-0005-0000-0000-000020000000}"/>
    <cellStyle name="40% - Accent3 2" xfId="39" xr:uid="{00000000-0005-0000-0000-000021000000}"/>
    <cellStyle name="40% - Accent3 3" xfId="40" xr:uid="{00000000-0005-0000-0000-000022000000}"/>
    <cellStyle name="40% - Accent3 3 2" xfId="41" xr:uid="{00000000-0005-0000-0000-000023000000}"/>
    <cellStyle name="40% - Accent4 2" xfId="42" xr:uid="{00000000-0005-0000-0000-000024000000}"/>
    <cellStyle name="40% - Accent4 2 2" xfId="43" xr:uid="{00000000-0005-0000-0000-000025000000}"/>
    <cellStyle name="40% - Accent4 3" xfId="44" xr:uid="{00000000-0005-0000-0000-000026000000}"/>
    <cellStyle name="40% - Accent4 3 2" xfId="45" xr:uid="{00000000-0005-0000-0000-000027000000}"/>
    <cellStyle name="40% - Accent4 3 3" xfId="46" xr:uid="{00000000-0005-0000-0000-000028000000}"/>
    <cellStyle name="40% - Accent4 4" xfId="47" xr:uid="{00000000-0005-0000-0000-000029000000}"/>
    <cellStyle name="40% - Accent5 2" xfId="48" xr:uid="{00000000-0005-0000-0000-00002A000000}"/>
    <cellStyle name="40% - Accent5 2 2" xfId="49" xr:uid="{00000000-0005-0000-0000-00002B000000}"/>
    <cellStyle name="40% - Accent5 3" xfId="50" xr:uid="{00000000-0005-0000-0000-00002C000000}"/>
    <cellStyle name="40% - Accent5 3 2" xfId="51" xr:uid="{00000000-0005-0000-0000-00002D000000}"/>
    <cellStyle name="40% - Accent6 2" xfId="52" xr:uid="{00000000-0005-0000-0000-00002E000000}"/>
    <cellStyle name="40% - Accent6 2 2" xfId="53" xr:uid="{00000000-0005-0000-0000-00002F000000}"/>
    <cellStyle name="40% - Accent6 3" xfId="54" xr:uid="{00000000-0005-0000-0000-000030000000}"/>
    <cellStyle name="40% - Accent6 3 2" xfId="55" xr:uid="{00000000-0005-0000-0000-000031000000}"/>
    <cellStyle name="40% - Accent6 3 3" xfId="56" xr:uid="{00000000-0005-0000-0000-000032000000}"/>
    <cellStyle name="40% - Accent6 4" xfId="57" xr:uid="{00000000-0005-0000-0000-000033000000}"/>
    <cellStyle name="60% - Accent1 2" xfId="58" xr:uid="{00000000-0005-0000-0000-000034000000}"/>
    <cellStyle name="60% - Accent1 2 2" xfId="59" xr:uid="{00000000-0005-0000-0000-000035000000}"/>
    <cellStyle name="60% - Accent1 2 3" xfId="60" xr:uid="{00000000-0005-0000-0000-000036000000}"/>
    <cellStyle name="60% - Accent1 3" xfId="61" xr:uid="{00000000-0005-0000-0000-000037000000}"/>
    <cellStyle name="60% - Accent1 3 2" xfId="62" xr:uid="{00000000-0005-0000-0000-000038000000}"/>
    <cellStyle name="60% - Accent1 3 3" xfId="63" xr:uid="{00000000-0005-0000-0000-000039000000}"/>
    <cellStyle name="60% - Accent1 4" xfId="64" xr:uid="{00000000-0005-0000-0000-00003A000000}"/>
    <cellStyle name="60% - Accent2 2" xfId="65" xr:uid="{00000000-0005-0000-0000-00003B000000}"/>
    <cellStyle name="60% - Accent2 2 2" xfId="66" xr:uid="{00000000-0005-0000-0000-00003C000000}"/>
    <cellStyle name="60% - Accent2 3" xfId="67" xr:uid="{00000000-0005-0000-0000-00003D000000}"/>
    <cellStyle name="60% - Accent2 3 2" xfId="68" xr:uid="{00000000-0005-0000-0000-00003E000000}"/>
    <cellStyle name="60% - Accent3 2" xfId="69" xr:uid="{00000000-0005-0000-0000-00003F000000}"/>
    <cellStyle name="60% - Accent3 2 2" xfId="70" xr:uid="{00000000-0005-0000-0000-000040000000}"/>
    <cellStyle name="60% - Accent3 3" xfId="71" xr:uid="{00000000-0005-0000-0000-000041000000}"/>
    <cellStyle name="60% - Accent3 3 2" xfId="72" xr:uid="{00000000-0005-0000-0000-000042000000}"/>
    <cellStyle name="60% - Accent3 3 3" xfId="73" xr:uid="{00000000-0005-0000-0000-000043000000}"/>
    <cellStyle name="60% - Accent3 4" xfId="74" xr:uid="{00000000-0005-0000-0000-000044000000}"/>
    <cellStyle name="60% - Accent4 2" xfId="75" xr:uid="{00000000-0005-0000-0000-000045000000}"/>
    <cellStyle name="60% - Accent4 2 2" xfId="76" xr:uid="{00000000-0005-0000-0000-000046000000}"/>
    <cellStyle name="60% - Accent4 3" xfId="77" xr:uid="{00000000-0005-0000-0000-000047000000}"/>
    <cellStyle name="60% - Accent4 3 2" xfId="78" xr:uid="{00000000-0005-0000-0000-000048000000}"/>
    <cellStyle name="60% - Accent4 3 3" xfId="79" xr:uid="{00000000-0005-0000-0000-000049000000}"/>
    <cellStyle name="60% - Accent4 4" xfId="80" xr:uid="{00000000-0005-0000-0000-00004A000000}"/>
    <cellStyle name="60% - Accent5 2" xfId="81" xr:uid="{00000000-0005-0000-0000-00004B000000}"/>
    <cellStyle name="60% - Accent5 2 2" xfId="82" xr:uid="{00000000-0005-0000-0000-00004C000000}"/>
    <cellStyle name="60% - Accent5 2 3" xfId="83" xr:uid="{00000000-0005-0000-0000-00004D000000}"/>
    <cellStyle name="60% - Accent5 3" xfId="84" xr:uid="{00000000-0005-0000-0000-00004E000000}"/>
    <cellStyle name="60% - Accent5 3 2" xfId="85" xr:uid="{00000000-0005-0000-0000-00004F000000}"/>
    <cellStyle name="60% - Accent6 2" xfId="86" xr:uid="{00000000-0005-0000-0000-000050000000}"/>
    <cellStyle name="60% - Accent6 3" xfId="87" xr:uid="{00000000-0005-0000-0000-000051000000}"/>
    <cellStyle name="60% - Accent6 3 2" xfId="88" xr:uid="{00000000-0005-0000-0000-000052000000}"/>
    <cellStyle name="Accent1 2" xfId="89" xr:uid="{00000000-0005-0000-0000-000053000000}"/>
    <cellStyle name="Accent1 2 2" xfId="90" xr:uid="{00000000-0005-0000-0000-000054000000}"/>
    <cellStyle name="Accent1 2 3" xfId="91" xr:uid="{00000000-0005-0000-0000-000055000000}"/>
    <cellStyle name="Accent1 3" xfId="92" xr:uid="{00000000-0005-0000-0000-000056000000}"/>
    <cellStyle name="Accent1 3 2" xfId="93" xr:uid="{00000000-0005-0000-0000-000057000000}"/>
    <cellStyle name="Accent1 3 3" xfId="94" xr:uid="{00000000-0005-0000-0000-000058000000}"/>
    <cellStyle name="Accent1 4" xfId="95" xr:uid="{00000000-0005-0000-0000-000059000000}"/>
    <cellStyle name="Accent2 2" xfId="96" xr:uid="{00000000-0005-0000-0000-00005A000000}"/>
    <cellStyle name="Accent2 2 2" xfId="97" xr:uid="{00000000-0005-0000-0000-00005B000000}"/>
    <cellStyle name="Accent2 3" xfId="98" xr:uid="{00000000-0005-0000-0000-00005C000000}"/>
    <cellStyle name="Accent2 3 2" xfId="99" xr:uid="{00000000-0005-0000-0000-00005D000000}"/>
    <cellStyle name="Accent3 2" xfId="100" xr:uid="{00000000-0005-0000-0000-00005E000000}"/>
    <cellStyle name="Accent3 2 2" xfId="101" xr:uid="{00000000-0005-0000-0000-00005F000000}"/>
    <cellStyle name="Accent3 2 3" xfId="102" xr:uid="{00000000-0005-0000-0000-000060000000}"/>
    <cellStyle name="Accent3 3" xfId="103" xr:uid="{00000000-0005-0000-0000-000061000000}"/>
    <cellStyle name="Accent3 3 2" xfId="104" xr:uid="{00000000-0005-0000-0000-000062000000}"/>
    <cellStyle name="Accent4 2" xfId="105" xr:uid="{00000000-0005-0000-0000-000063000000}"/>
    <cellStyle name="Accent4 3" xfId="106" xr:uid="{00000000-0005-0000-0000-000064000000}"/>
    <cellStyle name="Accent4 3 2" xfId="107" xr:uid="{00000000-0005-0000-0000-000065000000}"/>
    <cellStyle name="Accent5 2" xfId="108" xr:uid="{00000000-0005-0000-0000-000066000000}"/>
    <cellStyle name="Accent5 3" xfId="109" xr:uid="{00000000-0005-0000-0000-000067000000}"/>
    <cellStyle name="Accent6 2" xfId="110" xr:uid="{00000000-0005-0000-0000-000068000000}"/>
    <cellStyle name="Accent6 2 2" xfId="111" xr:uid="{00000000-0005-0000-0000-000069000000}"/>
    <cellStyle name="Accent6 2 3" xfId="112" xr:uid="{00000000-0005-0000-0000-00006A000000}"/>
    <cellStyle name="Accent6 3" xfId="113" xr:uid="{00000000-0005-0000-0000-00006B000000}"/>
    <cellStyle name="Accent6 3 2" xfId="114" xr:uid="{00000000-0005-0000-0000-00006C000000}"/>
    <cellStyle name="Accounting" xfId="115" xr:uid="{00000000-0005-0000-0000-00006D000000}"/>
    <cellStyle name="Accounting 2" xfId="116" xr:uid="{00000000-0005-0000-0000-00006E000000}"/>
    <cellStyle name="Accounting 3" xfId="117" xr:uid="{00000000-0005-0000-0000-00006F000000}"/>
    <cellStyle name="Accounting_2011-11" xfId="118" xr:uid="{00000000-0005-0000-0000-000070000000}"/>
    <cellStyle name="APS" xfId="119" xr:uid="{00000000-0005-0000-0000-000071000000}"/>
    <cellStyle name="APSLabels" xfId="120" xr:uid="{00000000-0005-0000-0000-000072000000}"/>
    <cellStyle name="Bad 2" xfId="121" xr:uid="{00000000-0005-0000-0000-000073000000}"/>
    <cellStyle name="Bad 2 2" xfId="122" xr:uid="{00000000-0005-0000-0000-000074000000}"/>
    <cellStyle name="Bad 3" xfId="123" xr:uid="{00000000-0005-0000-0000-000075000000}"/>
    <cellStyle name="Bad 3 2" xfId="124" xr:uid="{00000000-0005-0000-0000-000076000000}"/>
    <cellStyle name="Budget" xfId="125" xr:uid="{00000000-0005-0000-0000-000077000000}"/>
    <cellStyle name="Budget 2" xfId="126" xr:uid="{00000000-0005-0000-0000-000078000000}"/>
    <cellStyle name="Budget 3" xfId="127" xr:uid="{00000000-0005-0000-0000-000079000000}"/>
    <cellStyle name="Budget_2011-11" xfId="128" xr:uid="{00000000-0005-0000-0000-00007A000000}"/>
    <cellStyle name="Calculation 2" xfId="129" xr:uid="{00000000-0005-0000-0000-00007B000000}"/>
    <cellStyle name="Calculation 2 2" xfId="130" xr:uid="{00000000-0005-0000-0000-00007C000000}"/>
    <cellStyle name="Calculation 2 3" xfId="131" xr:uid="{00000000-0005-0000-0000-00007D000000}"/>
    <cellStyle name="Calculation 3" xfId="132" xr:uid="{00000000-0005-0000-0000-00007E000000}"/>
    <cellStyle name="Calculation 3 2" xfId="133" xr:uid="{00000000-0005-0000-0000-00007F000000}"/>
    <cellStyle name="Calculation 3 3" xfId="134" xr:uid="{00000000-0005-0000-0000-000080000000}"/>
    <cellStyle name="Calculation 4" xfId="135" xr:uid="{00000000-0005-0000-0000-000081000000}"/>
    <cellStyle name="Check Cell 2" xfId="136" xr:uid="{00000000-0005-0000-0000-000082000000}"/>
    <cellStyle name="Check Cell 3" xfId="137" xr:uid="{00000000-0005-0000-0000-000083000000}"/>
    <cellStyle name="Color" xfId="138" xr:uid="{00000000-0005-0000-0000-000084000000}"/>
    <cellStyle name="combo" xfId="139" xr:uid="{00000000-0005-0000-0000-000085000000}"/>
    <cellStyle name="Comma" xfId="1" builtinId="3"/>
    <cellStyle name="Comma 10" xfId="140" xr:uid="{00000000-0005-0000-0000-000087000000}"/>
    <cellStyle name="Comma 10 2" xfId="141" xr:uid="{00000000-0005-0000-0000-000088000000}"/>
    <cellStyle name="Comma 11" xfId="142" xr:uid="{00000000-0005-0000-0000-000089000000}"/>
    <cellStyle name="Comma 11 2" xfId="143" xr:uid="{00000000-0005-0000-0000-00008A000000}"/>
    <cellStyle name="Comma 12" xfId="144" xr:uid="{00000000-0005-0000-0000-00008B000000}"/>
    <cellStyle name="Comma 12 2" xfId="145" xr:uid="{00000000-0005-0000-0000-00008C000000}"/>
    <cellStyle name="Comma 12 2 2" xfId="146" xr:uid="{00000000-0005-0000-0000-00008D000000}"/>
    <cellStyle name="Comma 12 3" xfId="147" xr:uid="{00000000-0005-0000-0000-00008E000000}"/>
    <cellStyle name="Comma 12 4" xfId="148" xr:uid="{00000000-0005-0000-0000-00008F000000}"/>
    <cellStyle name="Comma 12 5" xfId="149" xr:uid="{00000000-0005-0000-0000-000090000000}"/>
    <cellStyle name="Comma 13" xfId="150" xr:uid="{00000000-0005-0000-0000-000091000000}"/>
    <cellStyle name="Comma 13 2" xfId="151" xr:uid="{00000000-0005-0000-0000-000092000000}"/>
    <cellStyle name="Comma 13 3" xfId="152" xr:uid="{00000000-0005-0000-0000-000093000000}"/>
    <cellStyle name="Comma 14" xfId="153" xr:uid="{00000000-0005-0000-0000-000094000000}"/>
    <cellStyle name="Comma 15" xfId="154" xr:uid="{00000000-0005-0000-0000-000095000000}"/>
    <cellStyle name="Comma 15 2" xfId="155" xr:uid="{00000000-0005-0000-0000-000096000000}"/>
    <cellStyle name="Comma 15 3" xfId="156" xr:uid="{00000000-0005-0000-0000-000097000000}"/>
    <cellStyle name="Comma 16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7 4" xfId="161" xr:uid="{00000000-0005-0000-0000-00009C000000}"/>
    <cellStyle name="Comma 18" xfId="162" xr:uid="{00000000-0005-0000-0000-00009D000000}"/>
    <cellStyle name="Comma 18 2" xfId="163" xr:uid="{00000000-0005-0000-0000-00009E000000}"/>
    <cellStyle name="Comma 18 3" xfId="164" xr:uid="{00000000-0005-0000-0000-00009F000000}"/>
    <cellStyle name="Comma 18 4" xfId="165" xr:uid="{00000000-0005-0000-0000-0000A0000000}"/>
    <cellStyle name="Comma 19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3" xfId="171" xr:uid="{00000000-0005-0000-0000-0000A6000000}"/>
    <cellStyle name="Comma 2 3" xfId="172" xr:uid="{00000000-0005-0000-0000-0000A7000000}"/>
    <cellStyle name="Comma 2 4" xfId="173" xr:uid="{00000000-0005-0000-0000-0000A8000000}"/>
    <cellStyle name="Comma 2 4 2" xfId="174" xr:uid="{00000000-0005-0000-0000-0000A9000000}"/>
    <cellStyle name="Comma 2 4 3" xfId="175" xr:uid="{00000000-0005-0000-0000-0000AA000000}"/>
    <cellStyle name="Comma 2 4 4" xfId="176" xr:uid="{00000000-0005-0000-0000-0000AB000000}"/>
    <cellStyle name="Comma 2 5" xfId="177" xr:uid="{00000000-0005-0000-0000-0000AC000000}"/>
    <cellStyle name="Comma 2 6" xfId="178" xr:uid="{00000000-0005-0000-0000-0000AD000000}"/>
    <cellStyle name="Comma 2 6 2" xfId="179" xr:uid="{00000000-0005-0000-0000-0000AE000000}"/>
    <cellStyle name="Comma 2 7" xfId="180" xr:uid="{00000000-0005-0000-0000-0000AF000000}"/>
    <cellStyle name="Comma 2 8" xfId="181" xr:uid="{00000000-0005-0000-0000-0000B0000000}"/>
    <cellStyle name="Comma 20" xfId="182" xr:uid="{00000000-0005-0000-0000-0000B1000000}"/>
    <cellStyle name="Comma 21" xfId="183" xr:uid="{00000000-0005-0000-0000-0000B2000000}"/>
    <cellStyle name="Comma 21 2" xfId="184" xr:uid="{00000000-0005-0000-0000-0000B3000000}"/>
    <cellStyle name="Comma 22" xfId="185" xr:uid="{00000000-0005-0000-0000-0000B4000000}"/>
    <cellStyle name="Comma 23" xfId="186" xr:uid="{00000000-0005-0000-0000-0000B5000000}"/>
    <cellStyle name="Comma 3" xfId="187" xr:uid="{00000000-0005-0000-0000-0000B6000000}"/>
    <cellStyle name="Comma 3 2" xfId="188" xr:uid="{00000000-0005-0000-0000-0000B7000000}"/>
    <cellStyle name="Comma 3 2 2" xfId="189" xr:uid="{00000000-0005-0000-0000-0000B8000000}"/>
    <cellStyle name="Comma 3 3" xfId="190" xr:uid="{00000000-0005-0000-0000-0000B9000000}"/>
    <cellStyle name="Comma 3 4" xfId="191" xr:uid="{00000000-0005-0000-0000-0000BA000000}"/>
    <cellStyle name="Comma 4" xfId="192" xr:uid="{00000000-0005-0000-0000-0000BB000000}"/>
    <cellStyle name="Comma 4 2" xfId="193" xr:uid="{00000000-0005-0000-0000-0000BC000000}"/>
    <cellStyle name="Comma 4 2 2" xfId="194" xr:uid="{00000000-0005-0000-0000-0000BD000000}"/>
    <cellStyle name="Comma 4 2 3" xfId="195" xr:uid="{00000000-0005-0000-0000-0000BE000000}"/>
    <cellStyle name="Comma 4 2 4" xfId="196" xr:uid="{00000000-0005-0000-0000-0000BF000000}"/>
    <cellStyle name="Comma 4 3" xfId="197" xr:uid="{00000000-0005-0000-0000-0000C0000000}"/>
    <cellStyle name="Comma 4 3 2" xfId="198" xr:uid="{00000000-0005-0000-0000-0000C1000000}"/>
    <cellStyle name="Comma 4 3 3" xfId="199" xr:uid="{00000000-0005-0000-0000-0000C2000000}"/>
    <cellStyle name="Comma 4 4" xfId="200" xr:uid="{00000000-0005-0000-0000-0000C3000000}"/>
    <cellStyle name="Comma 4 4 2" xfId="201" xr:uid="{00000000-0005-0000-0000-0000C4000000}"/>
    <cellStyle name="Comma 4 4 3" xfId="202" xr:uid="{00000000-0005-0000-0000-0000C5000000}"/>
    <cellStyle name="Comma 4 5" xfId="203" xr:uid="{00000000-0005-0000-0000-0000C6000000}"/>
    <cellStyle name="Comma 4 5 2" xfId="204" xr:uid="{00000000-0005-0000-0000-0000C7000000}"/>
    <cellStyle name="Comma 4 6" xfId="205" xr:uid="{00000000-0005-0000-0000-0000C8000000}"/>
    <cellStyle name="Comma 5" xfId="206" xr:uid="{00000000-0005-0000-0000-0000C9000000}"/>
    <cellStyle name="Comma 5 2" xfId="207" xr:uid="{00000000-0005-0000-0000-0000CA000000}"/>
    <cellStyle name="Comma 5 2 2" xfId="208" xr:uid="{00000000-0005-0000-0000-0000CB000000}"/>
    <cellStyle name="Comma 5 3" xfId="209" xr:uid="{00000000-0005-0000-0000-0000CC000000}"/>
    <cellStyle name="Comma 5 4" xfId="210" xr:uid="{00000000-0005-0000-0000-0000CD000000}"/>
    <cellStyle name="Comma 5 5" xfId="211" xr:uid="{00000000-0005-0000-0000-0000CE000000}"/>
    <cellStyle name="Comma 6" xfId="212" xr:uid="{00000000-0005-0000-0000-0000CF000000}"/>
    <cellStyle name="Comma 6 2" xfId="213" xr:uid="{00000000-0005-0000-0000-0000D0000000}"/>
    <cellStyle name="Comma 6 2 2" xfId="214" xr:uid="{00000000-0005-0000-0000-0000D1000000}"/>
    <cellStyle name="Comma 6 2 3" xfId="215" xr:uid="{00000000-0005-0000-0000-0000D2000000}"/>
    <cellStyle name="Comma 6 3" xfId="216" xr:uid="{00000000-0005-0000-0000-0000D3000000}"/>
    <cellStyle name="Comma 6 4" xfId="217" xr:uid="{00000000-0005-0000-0000-0000D4000000}"/>
    <cellStyle name="Comma 7" xfId="218" xr:uid="{00000000-0005-0000-0000-0000D5000000}"/>
    <cellStyle name="Comma 7 2" xfId="219" xr:uid="{00000000-0005-0000-0000-0000D6000000}"/>
    <cellStyle name="Comma 7 2 2" xfId="220" xr:uid="{00000000-0005-0000-0000-0000D7000000}"/>
    <cellStyle name="Comma 7 3" xfId="221" xr:uid="{00000000-0005-0000-0000-0000D8000000}"/>
    <cellStyle name="Comma 8" xfId="222" xr:uid="{00000000-0005-0000-0000-0000D9000000}"/>
    <cellStyle name="Comma 8 2" xfId="223" xr:uid="{00000000-0005-0000-0000-0000DA000000}"/>
    <cellStyle name="Comma 8 2 2" xfId="224" xr:uid="{00000000-0005-0000-0000-0000DB000000}"/>
    <cellStyle name="Comma 8 3" xfId="225" xr:uid="{00000000-0005-0000-0000-0000DC000000}"/>
    <cellStyle name="Comma 8 4" xfId="226" xr:uid="{00000000-0005-0000-0000-0000DD000000}"/>
    <cellStyle name="Comma 9" xfId="227" xr:uid="{00000000-0005-0000-0000-0000DE000000}"/>
    <cellStyle name="Comma 9 2" xfId="228" xr:uid="{00000000-0005-0000-0000-0000DF000000}"/>
    <cellStyle name="Comma(2)" xfId="229" xr:uid="{00000000-0005-0000-0000-0000E0000000}"/>
    <cellStyle name="Comma0" xfId="230" xr:uid="{00000000-0005-0000-0000-0000E1000000}"/>
    <cellStyle name="Comma0 - Style2" xfId="231" xr:uid="{00000000-0005-0000-0000-0000E2000000}"/>
    <cellStyle name="Comma1 - Style1" xfId="232" xr:uid="{00000000-0005-0000-0000-0000E3000000}"/>
    <cellStyle name="Comments" xfId="233" xr:uid="{00000000-0005-0000-0000-0000E4000000}"/>
    <cellStyle name="Currency" xfId="2" builtinId="4"/>
    <cellStyle name="Currency 10" xfId="234" xr:uid="{00000000-0005-0000-0000-0000E6000000}"/>
    <cellStyle name="Currency 11" xfId="235" xr:uid="{00000000-0005-0000-0000-0000E7000000}"/>
    <cellStyle name="Currency 12" xfId="236" xr:uid="{00000000-0005-0000-0000-0000E8000000}"/>
    <cellStyle name="Currency 13" xfId="237" xr:uid="{00000000-0005-0000-0000-0000E9000000}"/>
    <cellStyle name="Currency 14" xfId="238" xr:uid="{00000000-0005-0000-0000-0000EA000000}"/>
    <cellStyle name="Currency 15" xfId="239" xr:uid="{00000000-0005-0000-0000-0000EB000000}"/>
    <cellStyle name="Currency 2" xfId="240" xr:uid="{00000000-0005-0000-0000-0000EC000000}"/>
    <cellStyle name="Currency 2 2" xfId="241" xr:uid="{00000000-0005-0000-0000-0000ED000000}"/>
    <cellStyle name="Currency 2 2 2" xfId="242" xr:uid="{00000000-0005-0000-0000-0000EE000000}"/>
    <cellStyle name="Currency 2 2 3" xfId="243" xr:uid="{00000000-0005-0000-0000-0000EF000000}"/>
    <cellStyle name="Currency 2 2 4" xfId="244" xr:uid="{00000000-0005-0000-0000-0000F0000000}"/>
    <cellStyle name="Currency 2 3" xfId="245" xr:uid="{00000000-0005-0000-0000-0000F1000000}"/>
    <cellStyle name="Currency 2 3 2" xfId="246" xr:uid="{00000000-0005-0000-0000-0000F2000000}"/>
    <cellStyle name="Currency 2 3 3" xfId="247" xr:uid="{00000000-0005-0000-0000-0000F3000000}"/>
    <cellStyle name="Currency 2 4" xfId="248" xr:uid="{00000000-0005-0000-0000-0000F4000000}"/>
    <cellStyle name="Currency 2 5" xfId="249" xr:uid="{00000000-0005-0000-0000-0000F5000000}"/>
    <cellStyle name="Currency 2 6" xfId="250" xr:uid="{00000000-0005-0000-0000-0000F6000000}"/>
    <cellStyle name="Currency 2 6 2" xfId="251" xr:uid="{00000000-0005-0000-0000-0000F7000000}"/>
    <cellStyle name="Currency 3" xfId="252" xr:uid="{00000000-0005-0000-0000-0000F8000000}"/>
    <cellStyle name="Currency 3 2" xfId="253" xr:uid="{00000000-0005-0000-0000-0000F9000000}"/>
    <cellStyle name="Currency 3 2 2" xfId="254" xr:uid="{00000000-0005-0000-0000-0000FA000000}"/>
    <cellStyle name="Currency 3 3" xfId="255" xr:uid="{00000000-0005-0000-0000-0000FB000000}"/>
    <cellStyle name="Currency 3 3 2" xfId="256" xr:uid="{00000000-0005-0000-0000-0000FC000000}"/>
    <cellStyle name="Currency 3 4" xfId="257" xr:uid="{00000000-0005-0000-0000-0000FD000000}"/>
    <cellStyle name="Currency 3 5" xfId="258" xr:uid="{00000000-0005-0000-0000-0000FE000000}"/>
    <cellStyle name="Currency 4" xfId="259" xr:uid="{00000000-0005-0000-0000-0000FF000000}"/>
    <cellStyle name="Currency 4 2" xfId="260" xr:uid="{00000000-0005-0000-0000-000000010000}"/>
    <cellStyle name="Currency 4 2 2" xfId="261" xr:uid="{00000000-0005-0000-0000-000001010000}"/>
    <cellStyle name="Currency 4 3" xfId="262" xr:uid="{00000000-0005-0000-0000-000002010000}"/>
    <cellStyle name="Currency 4 4" xfId="263" xr:uid="{00000000-0005-0000-0000-000003010000}"/>
    <cellStyle name="Currency 5" xfId="264" xr:uid="{00000000-0005-0000-0000-000004010000}"/>
    <cellStyle name="Currency 5 2" xfId="265" xr:uid="{00000000-0005-0000-0000-000005010000}"/>
    <cellStyle name="Currency 5 3" xfId="266" xr:uid="{00000000-0005-0000-0000-000006010000}"/>
    <cellStyle name="Currency 6" xfId="267" xr:uid="{00000000-0005-0000-0000-000007010000}"/>
    <cellStyle name="Currency 7" xfId="268" xr:uid="{00000000-0005-0000-0000-000008010000}"/>
    <cellStyle name="Currency 8" xfId="269" xr:uid="{00000000-0005-0000-0000-000009010000}"/>
    <cellStyle name="Currency 8 2" xfId="270" xr:uid="{00000000-0005-0000-0000-00000A010000}"/>
    <cellStyle name="Currency 8 3" xfId="271" xr:uid="{00000000-0005-0000-0000-00000B010000}"/>
    <cellStyle name="Currency 9" xfId="272" xr:uid="{00000000-0005-0000-0000-00000C010000}"/>
    <cellStyle name="Currency0" xfId="273" xr:uid="{00000000-0005-0000-0000-00000D010000}"/>
    <cellStyle name="Data Enter" xfId="274" xr:uid="{00000000-0005-0000-0000-00000E010000}"/>
    <cellStyle name="date" xfId="275" xr:uid="{00000000-0005-0000-0000-00000F010000}"/>
    <cellStyle name="Explanatory Text 2" xfId="276" xr:uid="{00000000-0005-0000-0000-000010010000}"/>
    <cellStyle name="Explanatory Text 3" xfId="277" xr:uid="{00000000-0005-0000-0000-000011010000}"/>
    <cellStyle name="F9ReportControlStyle_ctpInquire" xfId="278" xr:uid="{00000000-0005-0000-0000-000012010000}"/>
    <cellStyle name="FactSheet" xfId="279" xr:uid="{00000000-0005-0000-0000-000013010000}"/>
    <cellStyle name="fish" xfId="280" xr:uid="{00000000-0005-0000-0000-000014010000}"/>
    <cellStyle name="Good 2" xfId="281" xr:uid="{00000000-0005-0000-0000-000015010000}"/>
    <cellStyle name="Good 2 2" xfId="282" xr:uid="{00000000-0005-0000-0000-000016010000}"/>
    <cellStyle name="Good 3" xfId="283" xr:uid="{00000000-0005-0000-0000-000017010000}"/>
    <cellStyle name="Good 3 2" xfId="284" xr:uid="{00000000-0005-0000-0000-000018010000}"/>
    <cellStyle name="Good 4" xfId="285" xr:uid="{00000000-0005-0000-0000-000019010000}"/>
    <cellStyle name="Heading 1 2" xfId="286" xr:uid="{00000000-0005-0000-0000-00001A010000}"/>
    <cellStyle name="Heading 1 2 2" xfId="287" xr:uid="{00000000-0005-0000-0000-00001B010000}"/>
    <cellStyle name="Heading 1 2 3" xfId="288" xr:uid="{00000000-0005-0000-0000-00001C010000}"/>
    <cellStyle name="Heading 1 3" xfId="289" xr:uid="{00000000-0005-0000-0000-00001D010000}"/>
    <cellStyle name="Heading 1 3 2" xfId="290" xr:uid="{00000000-0005-0000-0000-00001E010000}"/>
    <cellStyle name="Heading 1 3 3" xfId="291" xr:uid="{00000000-0005-0000-0000-00001F010000}"/>
    <cellStyle name="Heading 1 4" xfId="292" xr:uid="{00000000-0005-0000-0000-000020010000}"/>
    <cellStyle name="Heading 2 2" xfId="293" xr:uid="{00000000-0005-0000-0000-000021010000}"/>
    <cellStyle name="Heading 2 2 2" xfId="294" xr:uid="{00000000-0005-0000-0000-000022010000}"/>
    <cellStyle name="Heading 2 2 3" xfId="295" xr:uid="{00000000-0005-0000-0000-000023010000}"/>
    <cellStyle name="Heading 2 3" xfId="296" xr:uid="{00000000-0005-0000-0000-000024010000}"/>
    <cellStyle name="Heading 2 3 2" xfId="297" xr:uid="{00000000-0005-0000-0000-000025010000}"/>
    <cellStyle name="Heading 2 3 3" xfId="298" xr:uid="{00000000-0005-0000-0000-000026010000}"/>
    <cellStyle name="Heading 2 4" xfId="299" xr:uid="{00000000-0005-0000-0000-000027010000}"/>
    <cellStyle name="Heading 3 2" xfId="300" xr:uid="{00000000-0005-0000-0000-000028010000}"/>
    <cellStyle name="Heading 3 2 2" xfId="301" xr:uid="{00000000-0005-0000-0000-000029010000}"/>
    <cellStyle name="Heading 3 2 3" xfId="302" xr:uid="{00000000-0005-0000-0000-00002A010000}"/>
    <cellStyle name="Heading 3 3" xfId="303" xr:uid="{00000000-0005-0000-0000-00002B010000}"/>
    <cellStyle name="Heading 3 3 2" xfId="304" xr:uid="{00000000-0005-0000-0000-00002C010000}"/>
    <cellStyle name="Heading 3 3 3" xfId="305" xr:uid="{00000000-0005-0000-0000-00002D010000}"/>
    <cellStyle name="Heading 3 4" xfId="306" xr:uid="{00000000-0005-0000-0000-00002E010000}"/>
    <cellStyle name="Heading 4 2" xfId="307" xr:uid="{00000000-0005-0000-0000-00002F010000}"/>
    <cellStyle name="Heading 4 3" xfId="308" xr:uid="{00000000-0005-0000-0000-000030010000}"/>
    <cellStyle name="Heading 4 3 2" xfId="309" xr:uid="{00000000-0005-0000-0000-000031010000}"/>
    <cellStyle name="Hyperlink 2" xfId="310" xr:uid="{00000000-0005-0000-0000-000032010000}"/>
    <cellStyle name="Hyperlink 3" xfId="311" xr:uid="{00000000-0005-0000-0000-000033010000}"/>
    <cellStyle name="Hyperlink 3 2" xfId="312" xr:uid="{00000000-0005-0000-0000-000034010000}"/>
    <cellStyle name="Input 2" xfId="313" xr:uid="{00000000-0005-0000-0000-000035010000}"/>
    <cellStyle name="Input 3" xfId="314" xr:uid="{00000000-0005-0000-0000-000036010000}"/>
    <cellStyle name="Input 3 2" xfId="315" xr:uid="{00000000-0005-0000-0000-000037010000}"/>
    <cellStyle name="input(0)" xfId="316" xr:uid="{00000000-0005-0000-0000-000038010000}"/>
    <cellStyle name="Input(2)" xfId="317" xr:uid="{00000000-0005-0000-0000-000039010000}"/>
    <cellStyle name="Labels" xfId="318" xr:uid="{00000000-0005-0000-0000-00003A010000}"/>
    <cellStyle name="Linked Cell 2" xfId="319" xr:uid="{00000000-0005-0000-0000-00003B010000}"/>
    <cellStyle name="Linked Cell 2 2" xfId="320" xr:uid="{00000000-0005-0000-0000-00003C010000}"/>
    <cellStyle name="Linked Cell 2 3" xfId="321" xr:uid="{00000000-0005-0000-0000-00003D010000}"/>
    <cellStyle name="Linked Cell 3" xfId="322" xr:uid="{00000000-0005-0000-0000-00003E010000}"/>
    <cellStyle name="Linked Cell 3 2" xfId="323" xr:uid="{00000000-0005-0000-0000-00003F010000}"/>
    <cellStyle name="Neutral 2" xfId="324" xr:uid="{00000000-0005-0000-0000-000040010000}"/>
    <cellStyle name="Neutral 2 2" xfId="325" xr:uid="{00000000-0005-0000-0000-000041010000}"/>
    <cellStyle name="Neutral 2 3" xfId="326" xr:uid="{00000000-0005-0000-0000-000042010000}"/>
    <cellStyle name="Neutral 3" xfId="327" xr:uid="{00000000-0005-0000-0000-000043010000}"/>
    <cellStyle name="Neutral 3 2" xfId="328" xr:uid="{00000000-0005-0000-0000-000044010000}"/>
    <cellStyle name="New_normal" xfId="329" xr:uid="{00000000-0005-0000-0000-000045010000}"/>
    <cellStyle name="Normal" xfId="0" builtinId="0"/>
    <cellStyle name="Normal - Style1" xfId="330" xr:uid="{00000000-0005-0000-0000-000047010000}"/>
    <cellStyle name="Normal - Style2" xfId="331" xr:uid="{00000000-0005-0000-0000-000048010000}"/>
    <cellStyle name="Normal - Style3" xfId="332" xr:uid="{00000000-0005-0000-0000-000049010000}"/>
    <cellStyle name="Normal - Style4" xfId="333" xr:uid="{00000000-0005-0000-0000-00004A010000}"/>
    <cellStyle name="Normal - Style5" xfId="334" xr:uid="{00000000-0005-0000-0000-00004B010000}"/>
    <cellStyle name="Normal 10" xfId="335" xr:uid="{00000000-0005-0000-0000-00004C010000}"/>
    <cellStyle name="Normal 10 2" xfId="336" xr:uid="{00000000-0005-0000-0000-00004D010000}"/>
    <cellStyle name="Normal 10 2 2" xfId="337" xr:uid="{00000000-0005-0000-0000-00004E010000}"/>
    <cellStyle name="Normal 10 2 3" xfId="338" xr:uid="{00000000-0005-0000-0000-00004F010000}"/>
    <cellStyle name="Normal 10 2 4" xfId="339" xr:uid="{00000000-0005-0000-0000-000050010000}"/>
    <cellStyle name="Normal 10 2 5" xfId="340" xr:uid="{00000000-0005-0000-0000-000051010000}"/>
    <cellStyle name="Normal 10 3" xfId="341" xr:uid="{00000000-0005-0000-0000-000052010000}"/>
    <cellStyle name="Normal 10 9" xfId="678" xr:uid="{00000000-0005-0000-0000-000053010000}"/>
    <cellStyle name="Normal 10_2112 DF Schedule" xfId="342" xr:uid="{00000000-0005-0000-0000-000054010000}"/>
    <cellStyle name="Normal 100" xfId="343" xr:uid="{00000000-0005-0000-0000-000055010000}"/>
    <cellStyle name="Normal 101" xfId="344" xr:uid="{00000000-0005-0000-0000-000056010000}"/>
    <cellStyle name="Normal 102" xfId="345" xr:uid="{00000000-0005-0000-0000-000057010000}"/>
    <cellStyle name="Normal 103" xfId="346" xr:uid="{00000000-0005-0000-0000-000058010000}"/>
    <cellStyle name="Normal 104" xfId="347" xr:uid="{00000000-0005-0000-0000-000059010000}"/>
    <cellStyle name="Normal 105" xfId="348" xr:uid="{00000000-0005-0000-0000-00005A010000}"/>
    <cellStyle name="Normal 106" xfId="349" xr:uid="{00000000-0005-0000-0000-00005B010000}"/>
    <cellStyle name="Normal 107" xfId="350" xr:uid="{00000000-0005-0000-0000-00005C010000}"/>
    <cellStyle name="Normal 108" xfId="351" xr:uid="{00000000-0005-0000-0000-00005D010000}"/>
    <cellStyle name="Normal 109" xfId="352" xr:uid="{00000000-0005-0000-0000-00005E010000}"/>
    <cellStyle name="Normal 109 2" xfId="353" xr:uid="{00000000-0005-0000-0000-00005F010000}"/>
    <cellStyle name="Normal 11" xfId="354" xr:uid="{00000000-0005-0000-0000-000060010000}"/>
    <cellStyle name="Normal 11 2" xfId="355" xr:uid="{00000000-0005-0000-0000-000061010000}"/>
    <cellStyle name="Normal 11 2 2" xfId="356" xr:uid="{00000000-0005-0000-0000-000062010000}"/>
    <cellStyle name="Normal 11 2 3" xfId="357" xr:uid="{00000000-0005-0000-0000-000063010000}"/>
    <cellStyle name="Normal 11 3" xfId="358" xr:uid="{00000000-0005-0000-0000-000064010000}"/>
    <cellStyle name="Normal 110" xfId="359" xr:uid="{00000000-0005-0000-0000-000065010000}"/>
    <cellStyle name="Normal 111" xfId="360" xr:uid="{00000000-0005-0000-0000-000066010000}"/>
    <cellStyle name="Normal 112" xfId="361" xr:uid="{00000000-0005-0000-0000-000067010000}"/>
    <cellStyle name="Normal 113" xfId="362" xr:uid="{00000000-0005-0000-0000-000068010000}"/>
    <cellStyle name="Normal 113 2" xfId="363" xr:uid="{00000000-0005-0000-0000-000069010000}"/>
    <cellStyle name="Normal 12" xfId="364" xr:uid="{00000000-0005-0000-0000-00006A010000}"/>
    <cellStyle name="Normal 12 2" xfId="365" xr:uid="{00000000-0005-0000-0000-00006B010000}"/>
    <cellStyle name="Normal 12 2 2" xfId="366" xr:uid="{00000000-0005-0000-0000-00006C010000}"/>
    <cellStyle name="Normal 12 3" xfId="367" xr:uid="{00000000-0005-0000-0000-00006D010000}"/>
    <cellStyle name="Normal 12 4" xfId="368" xr:uid="{00000000-0005-0000-0000-00006E010000}"/>
    <cellStyle name="Normal 12 5" xfId="369" xr:uid="{00000000-0005-0000-0000-00006F010000}"/>
    <cellStyle name="Normal 12 6" xfId="370" xr:uid="{00000000-0005-0000-0000-000070010000}"/>
    <cellStyle name="Normal 12_Sheet1" xfId="371" xr:uid="{00000000-0005-0000-0000-000071010000}"/>
    <cellStyle name="Normal 13" xfId="372" xr:uid="{00000000-0005-0000-0000-000072010000}"/>
    <cellStyle name="Normal 13 2" xfId="373" xr:uid="{00000000-0005-0000-0000-000073010000}"/>
    <cellStyle name="Normal 13 2 2" xfId="374" xr:uid="{00000000-0005-0000-0000-000074010000}"/>
    <cellStyle name="Normal 13 3" xfId="375" xr:uid="{00000000-0005-0000-0000-000075010000}"/>
    <cellStyle name="Normal 13 4" xfId="376" xr:uid="{00000000-0005-0000-0000-000076010000}"/>
    <cellStyle name="Normal 13 5" xfId="377" xr:uid="{00000000-0005-0000-0000-000077010000}"/>
    <cellStyle name="Normal 13 6" xfId="378" xr:uid="{00000000-0005-0000-0000-000078010000}"/>
    <cellStyle name="Normal 13_Sheet1" xfId="379" xr:uid="{00000000-0005-0000-0000-000079010000}"/>
    <cellStyle name="Normal 14" xfId="380" xr:uid="{00000000-0005-0000-0000-00007A010000}"/>
    <cellStyle name="Normal 14 2" xfId="381" xr:uid="{00000000-0005-0000-0000-00007B010000}"/>
    <cellStyle name="Normal 14 3" xfId="382" xr:uid="{00000000-0005-0000-0000-00007C010000}"/>
    <cellStyle name="Normal 14 4" xfId="383" xr:uid="{00000000-0005-0000-0000-00007D010000}"/>
    <cellStyle name="Normal 14 5" xfId="384" xr:uid="{00000000-0005-0000-0000-00007E010000}"/>
    <cellStyle name="Normal 14_Sheet1" xfId="385" xr:uid="{00000000-0005-0000-0000-00007F010000}"/>
    <cellStyle name="Normal 15" xfId="386" xr:uid="{00000000-0005-0000-0000-000080010000}"/>
    <cellStyle name="Normal 15 2" xfId="387" xr:uid="{00000000-0005-0000-0000-000081010000}"/>
    <cellStyle name="Normal 15 3" xfId="388" xr:uid="{00000000-0005-0000-0000-000082010000}"/>
    <cellStyle name="Normal 15 4" xfId="389" xr:uid="{00000000-0005-0000-0000-000083010000}"/>
    <cellStyle name="Normal 15 5" xfId="390" xr:uid="{00000000-0005-0000-0000-000084010000}"/>
    <cellStyle name="Normal 16" xfId="391" xr:uid="{00000000-0005-0000-0000-000085010000}"/>
    <cellStyle name="Normal 16 2" xfId="392" xr:uid="{00000000-0005-0000-0000-000086010000}"/>
    <cellStyle name="Normal 16 3" xfId="393" xr:uid="{00000000-0005-0000-0000-000087010000}"/>
    <cellStyle name="Normal 17" xfId="394" xr:uid="{00000000-0005-0000-0000-000088010000}"/>
    <cellStyle name="Normal 17 2" xfId="395" xr:uid="{00000000-0005-0000-0000-000089010000}"/>
    <cellStyle name="Normal 17 3" xfId="396" xr:uid="{00000000-0005-0000-0000-00008A010000}"/>
    <cellStyle name="Normal 18" xfId="397" xr:uid="{00000000-0005-0000-0000-00008B010000}"/>
    <cellStyle name="Normal 18 2" xfId="398" xr:uid="{00000000-0005-0000-0000-00008C010000}"/>
    <cellStyle name="Normal 18 3" xfId="399" xr:uid="{00000000-0005-0000-0000-00008D010000}"/>
    <cellStyle name="Normal 19" xfId="400" xr:uid="{00000000-0005-0000-0000-00008E010000}"/>
    <cellStyle name="Normal 19 2" xfId="401" xr:uid="{00000000-0005-0000-0000-00008F010000}"/>
    <cellStyle name="Normal 19 3" xfId="402" xr:uid="{00000000-0005-0000-0000-000090010000}"/>
    <cellStyle name="Normal 2" xfId="403" xr:uid="{00000000-0005-0000-0000-000091010000}"/>
    <cellStyle name="Normal 2 10" xfId="404" xr:uid="{00000000-0005-0000-0000-000092010000}"/>
    <cellStyle name="Normal 2 11" xfId="405" xr:uid="{00000000-0005-0000-0000-000093010000}"/>
    <cellStyle name="Normal 2 2" xfId="406" xr:uid="{00000000-0005-0000-0000-000094010000}"/>
    <cellStyle name="Normal 2 2 2" xfId="407" xr:uid="{00000000-0005-0000-0000-000095010000}"/>
    <cellStyle name="Normal 2 2 2 2" xfId="408" xr:uid="{00000000-0005-0000-0000-000096010000}"/>
    <cellStyle name="Normal 2 2 2_JE_IS11" xfId="409" xr:uid="{00000000-0005-0000-0000-000097010000}"/>
    <cellStyle name="Normal 2 2 3" xfId="410" xr:uid="{00000000-0005-0000-0000-000098010000}"/>
    <cellStyle name="Normal 2 2 4" xfId="411" xr:uid="{00000000-0005-0000-0000-000099010000}"/>
    <cellStyle name="Normal 2 2_4MthProj2" xfId="412" xr:uid="{00000000-0005-0000-0000-00009A010000}"/>
    <cellStyle name="Normal 2 3" xfId="413" xr:uid="{00000000-0005-0000-0000-00009B010000}"/>
    <cellStyle name="Normal 2 3 2" xfId="414" xr:uid="{00000000-0005-0000-0000-00009C010000}"/>
    <cellStyle name="Normal 2 3 2 2" xfId="415" xr:uid="{00000000-0005-0000-0000-00009D010000}"/>
    <cellStyle name="Normal 2 3 2 3" xfId="416" xr:uid="{00000000-0005-0000-0000-00009E010000}"/>
    <cellStyle name="Normal 2 3 3" xfId="417" xr:uid="{00000000-0005-0000-0000-00009F010000}"/>
    <cellStyle name="Normal 2 3 4" xfId="418" xr:uid="{00000000-0005-0000-0000-0000A0010000}"/>
    <cellStyle name="Normal 2 3_4MthProj2" xfId="419" xr:uid="{00000000-0005-0000-0000-0000A1010000}"/>
    <cellStyle name="Normal 2 4" xfId="420" xr:uid="{00000000-0005-0000-0000-0000A2010000}"/>
    <cellStyle name="Normal 2 4 2" xfId="421" xr:uid="{00000000-0005-0000-0000-0000A3010000}"/>
    <cellStyle name="Normal 2 4 3" xfId="422" xr:uid="{00000000-0005-0000-0000-0000A4010000}"/>
    <cellStyle name="Normal 2 5" xfId="423" xr:uid="{00000000-0005-0000-0000-0000A5010000}"/>
    <cellStyle name="Normal 2 6" xfId="424" xr:uid="{00000000-0005-0000-0000-0000A6010000}"/>
    <cellStyle name="Normal 2 7" xfId="425" xr:uid="{00000000-0005-0000-0000-0000A7010000}"/>
    <cellStyle name="Normal 2 8" xfId="426" xr:uid="{00000000-0005-0000-0000-0000A8010000}"/>
    <cellStyle name="Normal 2 9" xfId="427" xr:uid="{00000000-0005-0000-0000-0000A9010000}"/>
    <cellStyle name="Normal 2_2009 Regulated Price Out" xfId="428" xr:uid="{00000000-0005-0000-0000-0000AA010000}"/>
    <cellStyle name="Normal 20" xfId="429" xr:uid="{00000000-0005-0000-0000-0000AB010000}"/>
    <cellStyle name="Normal 20 2" xfId="430" xr:uid="{00000000-0005-0000-0000-0000AC010000}"/>
    <cellStyle name="Normal 20 3" xfId="431" xr:uid="{00000000-0005-0000-0000-0000AD010000}"/>
    <cellStyle name="Normal 20 4" xfId="432" xr:uid="{00000000-0005-0000-0000-0000AE010000}"/>
    <cellStyle name="Normal 20 5" xfId="433" xr:uid="{00000000-0005-0000-0000-0000AF010000}"/>
    <cellStyle name="Normal 20 6" xfId="434" xr:uid="{00000000-0005-0000-0000-0000B0010000}"/>
    <cellStyle name="Normal 21" xfId="435" xr:uid="{00000000-0005-0000-0000-0000B1010000}"/>
    <cellStyle name="Normal 21 2" xfId="436" xr:uid="{00000000-0005-0000-0000-0000B2010000}"/>
    <cellStyle name="Normal 21 3" xfId="437" xr:uid="{00000000-0005-0000-0000-0000B3010000}"/>
    <cellStyle name="Normal 21 4" xfId="438" xr:uid="{00000000-0005-0000-0000-0000B4010000}"/>
    <cellStyle name="Normal 22" xfId="439" xr:uid="{00000000-0005-0000-0000-0000B5010000}"/>
    <cellStyle name="Normal 22 2" xfId="440" xr:uid="{00000000-0005-0000-0000-0000B6010000}"/>
    <cellStyle name="Normal 22 3" xfId="441" xr:uid="{00000000-0005-0000-0000-0000B7010000}"/>
    <cellStyle name="Normal 22 4" xfId="442" xr:uid="{00000000-0005-0000-0000-0000B8010000}"/>
    <cellStyle name="Normal 23" xfId="443" xr:uid="{00000000-0005-0000-0000-0000B9010000}"/>
    <cellStyle name="Normal 23 2" xfId="444" xr:uid="{00000000-0005-0000-0000-0000BA010000}"/>
    <cellStyle name="Normal 23 3" xfId="445" xr:uid="{00000000-0005-0000-0000-0000BB010000}"/>
    <cellStyle name="Normal 24" xfId="446" xr:uid="{00000000-0005-0000-0000-0000BC010000}"/>
    <cellStyle name="Normal 24 2" xfId="447" xr:uid="{00000000-0005-0000-0000-0000BD010000}"/>
    <cellStyle name="Normal 25" xfId="448" xr:uid="{00000000-0005-0000-0000-0000BE010000}"/>
    <cellStyle name="Normal 25 2" xfId="449" xr:uid="{00000000-0005-0000-0000-0000BF010000}"/>
    <cellStyle name="Normal 26" xfId="450" xr:uid="{00000000-0005-0000-0000-0000C0010000}"/>
    <cellStyle name="Normal 26 2" xfId="451" xr:uid="{00000000-0005-0000-0000-0000C1010000}"/>
    <cellStyle name="Normal 26 3" xfId="452" xr:uid="{00000000-0005-0000-0000-0000C2010000}"/>
    <cellStyle name="Normal 26 4" xfId="453" xr:uid="{00000000-0005-0000-0000-0000C3010000}"/>
    <cellStyle name="Normal 27" xfId="454" xr:uid="{00000000-0005-0000-0000-0000C4010000}"/>
    <cellStyle name="Normal 27 2" xfId="455" xr:uid="{00000000-0005-0000-0000-0000C5010000}"/>
    <cellStyle name="Normal 27 3" xfId="456" xr:uid="{00000000-0005-0000-0000-0000C6010000}"/>
    <cellStyle name="Normal 27 4" xfId="457" xr:uid="{00000000-0005-0000-0000-0000C7010000}"/>
    <cellStyle name="Normal 27 5" xfId="458" xr:uid="{00000000-0005-0000-0000-0000C8010000}"/>
    <cellStyle name="Normal 28" xfId="459" xr:uid="{00000000-0005-0000-0000-0000C9010000}"/>
    <cellStyle name="Normal 28 2" xfId="460" xr:uid="{00000000-0005-0000-0000-0000CA010000}"/>
    <cellStyle name="Normal 28 3" xfId="461" xr:uid="{00000000-0005-0000-0000-0000CB010000}"/>
    <cellStyle name="Normal 29" xfId="462" xr:uid="{00000000-0005-0000-0000-0000CC010000}"/>
    <cellStyle name="Normal 29 2" xfId="463" xr:uid="{00000000-0005-0000-0000-0000CD010000}"/>
    <cellStyle name="Normal 3" xfId="464" xr:uid="{00000000-0005-0000-0000-0000CE010000}"/>
    <cellStyle name="Normal 3 2" xfId="465" xr:uid="{00000000-0005-0000-0000-0000CF010000}"/>
    <cellStyle name="Normal 3 2 2" xfId="466" xr:uid="{00000000-0005-0000-0000-0000D0010000}"/>
    <cellStyle name="Normal 3 3" xfId="467" xr:uid="{00000000-0005-0000-0000-0000D1010000}"/>
    <cellStyle name="Normal 3 3 2" xfId="468" xr:uid="{00000000-0005-0000-0000-0000D2010000}"/>
    <cellStyle name="Normal 3 3 3" xfId="469" xr:uid="{00000000-0005-0000-0000-0000D3010000}"/>
    <cellStyle name="Normal 3 3 4" xfId="470" xr:uid="{00000000-0005-0000-0000-0000D4010000}"/>
    <cellStyle name="Normal 3 4" xfId="471" xr:uid="{00000000-0005-0000-0000-0000D5010000}"/>
    <cellStyle name="Normal 3_2012 PR" xfId="472" xr:uid="{00000000-0005-0000-0000-0000D6010000}"/>
    <cellStyle name="Normal 30" xfId="473" xr:uid="{00000000-0005-0000-0000-0000D7010000}"/>
    <cellStyle name="Normal 30 2" xfId="474" xr:uid="{00000000-0005-0000-0000-0000D8010000}"/>
    <cellStyle name="Normal 31" xfId="475" xr:uid="{00000000-0005-0000-0000-0000D9010000}"/>
    <cellStyle name="Normal 31 2" xfId="476" xr:uid="{00000000-0005-0000-0000-0000DA010000}"/>
    <cellStyle name="Normal 31 3" xfId="477" xr:uid="{00000000-0005-0000-0000-0000DB010000}"/>
    <cellStyle name="Normal 32" xfId="478" xr:uid="{00000000-0005-0000-0000-0000DC010000}"/>
    <cellStyle name="Normal 32 2" xfId="479" xr:uid="{00000000-0005-0000-0000-0000DD010000}"/>
    <cellStyle name="Normal 33" xfId="480" xr:uid="{00000000-0005-0000-0000-0000DE010000}"/>
    <cellStyle name="Normal 34" xfId="481" xr:uid="{00000000-0005-0000-0000-0000DF010000}"/>
    <cellStyle name="Normal 35" xfId="482" xr:uid="{00000000-0005-0000-0000-0000E0010000}"/>
    <cellStyle name="Normal 36" xfId="483" xr:uid="{00000000-0005-0000-0000-0000E1010000}"/>
    <cellStyle name="Normal 37" xfId="484" xr:uid="{00000000-0005-0000-0000-0000E2010000}"/>
    <cellStyle name="Normal 38" xfId="485" xr:uid="{00000000-0005-0000-0000-0000E3010000}"/>
    <cellStyle name="Normal 39" xfId="486" xr:uid="{00000000-0005-0000-0000-0000E4010000}"/>
    <cellStyle name="Normal 4" xfId="487" xr:uid="{00000000-0005-0000-0000-0000E5010000}"/>
    <cellStyle name="Normal 4 2" xfId="488" xr:uid="{00000000-0005-0000-0000-0000E6010000}"/>
    <cellStyle name="Normal 4 2 2" xfId="489" xr:uid="{00000000-0005-0000-0000-0000E7010000}"/>
    <cellStyle name="Normal 4 2 3" xfId="490" xr:uid="{00000000-0005-0000-0000-0000E8010000}"/>
    <cellStyle name="Normal 4 2 4" xfId="491" xr:uid="{00000000-0005-0000-0000-0000E9010000}"/>
    <cellStyle name="Normal 4 3" xfId="492" xr:uid="{00000000-0005-0000-0000-0000EA010000}"/>
    <cellStyle name="Normal 4 3 2" xfId="493" xr:uid="{00000000-0005-0000-0000-0000EB010000}"/>
    <cellStyle name="Normal 4 3 3" xfId="494" xr:uid="{00000000-0005-0000-0000-0000EC010000}"/>
    <cellStyle name="Normal 4 4" xfId="495" xr:uid="{00000000-0005-0000-0000-0000ED010000}"/>
    <cellStyle name="Normal 4 5" xfId="496" xr:uid="{00000000-0005-0000-0000-0000EE010000}"/>
    <cellStyle name="Normal 4_Consolidated IS" xfId="497" xr:uid="{00000000-0005-0000-0000-0000EF010000}"/>
    <cellStyle name="Normal 40" xfId="498" xr:uid="{00000000-0005-0000-0000-0000F0010000}"/>
    <cellStyle name="Normal 41" xfId="499" xr:uid="{00000000-0005-0000-0000-0000F1010000}"/>
    <cellStyle name="Normal 42" xfId="500" xr:uid="{00000000-0005-0000-0000-0000F2010000}"/>
    <cellStyle name="Normal 43" xfId="501" xr:uid="{00000000-0005-0000-0000-0000F3010000}"/>
    <cellStyle name="Normal 44" xfId="502" xr:uid="{00000000-0005-0000-0000-0000F4010000}"/>
    <cellStyle name="Normal 45" xfId="503" xr:uid="{00000000-0005-0000-0000-0000F5010000}"/>
    <cellStyle name="Normal 46" xfId="504" xr:uid="{00000000-0005-0000-0000-0000F6010000}"/>
    <cellStyle name="Normal 47" xfId="505" xr:uid="{00000000-0005-0000-0000-0000F7010000}"/>
    <cellStyle name="Normal 48" xfId="506" xr:uid="{00000000-0005-0000-0000-0000F8010000}"/>
    <cellStyle name="Normal 49" xfId="507" xr:uid="{00000000-0005-0000-0000-0000F9010000}"/>
    <cellStyle name="Normal 5" xfId="508" xr:uid="{00000000-0005-0000-0000-0000FA010000}"/>
    <cellStyle name="Normal 5 2" xfId="509" xr:uid="{00000000-0005-0000-0000-0000FB010000}"/>
    <cellStyle name="Normal 5 2 2" xfId="510" xr:uid="{00000000-0005-0000-0000-0000FC010000}"/>
    <cellStyle name="Normal 5 3" xfId="511" xr:uid="{00000000-0005-0000-0000-0000FD010000}"/>
    <cellStyle name="Normal 5 4" xfId="512" xr:uid="{00000000-0005-0000-0000-0000FE010000}"/>
    <cellStyle name="Normal 5 5" xfId="513" xr:uid="{00000000-0005-0000-0000-0000FF010000}"/>
    <cellStyle name="Normal 5_2112 DF Schedule" xfId="514" xr:uid="{00000000-0005-0000-0000-000000020000}"/>
    <cellStyle name="Normal 50" xfId="515" xr:uid="{00000000-0005-0000-0000-000001020000}"/>
    <cellStyle name="Normal 51" xfId="516" xr:uid="{00000000-0005-0000-0000-000002020000}"/>
    <cellStyle name="Normal 52" xfId="517" xr:uid="{00000000-0005-0000-0000-000003020000}"/>
    <cellStyle name="Normal 53" xfId="518" xr:uid="{00000000-0005-0000-0000-000004020000}"/>
    <cellStyle name="Normal 54" xfId="519" xr:uid="{00000000-0005-0000-0000-000005020000}"/>
    <cellStyle name="Normal 55" xfId="520" xr:uid="{00000000-0005-0000-0000-000006020000}"/>
    <cellStyle name="Normal 56" xfId="521" xr:uid="{00000000-0005-0000-0000-000007020000}"/>
    <cellStyle name="Normal 57" xfId="522" xr:uid="{00000000-0005-0000-0000-000008020000}"/>
    <cellStyle name="Normal 58" xfId="523" xr:uid="{00000000-0005-0000-0000-000009020000}"/>
    <cellStyle name="Normal 59" xfId="524" xr:uid="{00000000-0005-0000-0000-00000A020000}"/>
    <cellStyle name="Normal 6" xfId="525" xr:uid="{00000000-0005-0000-0000-00000B020000}"/>
    <cellStyle name="Normal 6 2" xfId="526" xr:uid="{00000000-0005-0000-0000-00000C020000}"/>
    <cellStyle name="Normal 6 2 2" xfId="527" xr:uid="{00000000-0005-0000-0000-00000D020000}"/>
    <cellStyle name="Normal 6 2 3" xfId="528" xr:uid="{00000000-0005-0000-0000-00000E020000}"/>
    <cellStyle name="Normal 6 3" xfId="529" xr:uid="{00000000-0005-0000-0000-00000F020000}"/>
    <cellStyle name="Normal 60" xfId="530" xr:uid="{00000000-0005-0000-0000-000010020000}"/>
    <cellStyle name="Normal 61" xfId="531" xr:uid="{00000000-0005-0000-0000-000011020000}"/>
    <cellStyle name="Normal 62" xfId="532" xr:uid="{00000000-0005-0000-0000-000012020000}"/>
    <cellStyle name="Normal 63" xfId="533" xr:uid="{00000000-0005-0000-0000-000013020000}"/>
    <cellStyle name="Normal 64" xfId="534" xr:uid="{00000000-0005-0000-0000-000014020000}"/>
    <cellStyle name="Normal 65" xfId="535" xr:uid="{00000000-0005-0000-0000-000015020000}"/>
    <cellStyle name="Normal 66" xfId="536" xr:uid="{00000000-0005-0000-0000-000016020000}"/>
    <cellStyle name="Normal 67" xfId="537" xr:uid="{00000000-0005-0000-0000-000017020000}"/>
    <cellStyle name="Normal 68" xfId="538" xr:uid="{00000000-0005-0000-0000-000018020000}"/>
    <cellStyle name="Normal 69" xfId="539" xr:uid="{00000000-0005-0000-0000-000019020000}"/>
    <cellStyle name="Normal 7" xfId="540" xr:uid="{00000000-0005-0000-0000-00001A020000}"/>
    <cellStyle name="Normal 7 2" xfId="541" xr:uid="{00000000-0005-0000-0000-00001B020000}"/>
    <cellStyle name="Normal 7 2 2" xfId="542" xr:uid="{00000000-0005-0000-0000-00001C020000}"/>
    <cellStyle name="Normal 7 2 2 2" xfId="543" xr:uid="{00000000-0005-0000-0000-00001D020000}"/>
    <cellStyle name="Normal 7 2 3" xfId="544" xr:uid="{00000000-0005-0000-0000-00001E020000}"/>
    <cellStyle name="Normal 7 3" xfId="545" xr:uid="{00000000-0005-0000-0000-00001F020000}"/>
    <cellStyle name="Normal 7 3 2" xfId="546" xr:uid="{00000000-0005-0000-0000-000020020000}"/>
    <cellStyle name="Normal 7 4" xfId="547" xr:uid="{00000000-0005-0000-0000-000021020000}"/>
    <cellStyle name="Normal 70" xfId="548" xr:uid="{00000000-0005-0000-0000-000022020000}"/>
    <cellStyle name="Normal 71" xfId="549" xr:uid="{00000000-0005-0000-0000-000023020000}"/>
    <cellStyle name="Normal 72" xfId="550" xr:uid="{00000000-0005-0000-0000-000024020000}"/>
    <cellStyle name="Normal 73" xfId="551" xr:uid="{00000000-0005-0000-0000-000025020000}"/>
    <cellStyle name="Normal 74" xfId="552" xr:uid="{00000000-0005-0000-0000-000026020000}"/>
    <cellStyle name="Normal 75" xfId="553" xr:uid="{00000000-0005-0000-0000-000027020000}"/>
    <cellStyle name="Normal 76" xfId="554" xr:uid="{00000000-0005-0000-0000-000028020000}"/>
    <cellStyle name="Normal 77" xfId="555" xr:uid="{00000000-0005-0000-0000-000029020000}"/>
    <cellStyle name="Normal 78" xfId="556" xr:uid="{00000000-0005-0000-0000-00002A020000}"/>
    <cellStyle name="Normal 79" xfId="557" xr:uid="{00000000-0005-0000-0000-00002B020000}"/>
    <cellStyle name="Normal 8" xfId="558" xr:uid="{00000000-0005-0000-0000-00002C020000}"/>
    <cellStyle name="Normal 8 2" xfId="559" xr:uid="{00000000-0005-0000-0000-00002D020000}"/>
    <cellStyle name="Normal 8 2 2" xfId="560" xr:uid="{00000000-0005-0000-0000-00002E020000}"/>
    <cellStyle name="Normal 8 2 3" xfId="561" xr:uid="{00000000-0005-0000-0000-00002F020000}"/>
    <cellStyle name="Normal 8 3" xfId="562" xr:uid="{00000000-0005-0000-0000-000030020000}"/>
    <cellStyle name="Normal 8 4" xfId="563" xr:uid="{00000000-0005-0000-0000-000031020000}"/>
    <cellStyle name="Normal 80" xfId="564" xr:uid="{00000000-0005-0000-0000-000032020000}"/>
    <cellStyle name="Normal 81" xfId="565" xr:uid="{00000000-0005-0000-0000-000033020000}"/>
    <cellStyle name="Normal 82" xfId="566" xr:uid="{00000000-0005-0000-0000-000034020000}"/>
    <cellStyle name="Normal 83" xfId="567" xr:uid="{00000000-0005-0000-0000-000035020000}"/>
    <cellStyle name="Normal 84" xfId="568" xr:uid="{00000000-0005-0000-0000-000036020000}"/>
    <cellStyle name="Normal 84 2" xfId="569" xr:uid="{00000000-0005-0000-0000-000037020000}"/>
    <cellStyle name="Normal 84 3" xfId="570" xr:uid="{00000000-0005-0000-0000-000038020000}"/>
    <cellStyle name="Normal 85" xfId="571" xr:uid="{00000000-0005-0000-0000-000039020000}"/>
    <cellStyle name="Normal 85 2" xfId="572" xr:uid="{00000000-0005-0000-0000-00003A020000}"/>
    <cellStyle name="Normal 85 3" xfId="573" xr:uid="{00000000-0005-0000-0000-00003B020000}"/>
    <cellStyle name="Normal 86" xfId="574" xr:uid="{00000000-0005-0000-0000-00003C020000}"/>
    <cellStyle name="Normal 87" xfId="575" xr:uid="{00000000-0005-0000-0000-00003D020000}"/>
    <cellStyle name="Normal 88" xfId="576" xr:uid="{00000000-0005-0000-0000-00003E020000}"/>
    <cellStyle name="Normal 89" xfId="577" xr:uid="{00000000-0005-0000-0000-00003F020000}"/>
    <cellStyle name="Normal 9" xfId="578" xr:uid="{00000000-0005-0000-0000-000040020000}"/>
    <cellStyle name="Normal 9 2" xfId="579" xr:uid="{00000000-0005-0000-0000-000041020000}"/>
    <cellStyle name="Normal 9 2 2" xfId="580" xr:uid="{00000000-0005-0000-0000-000042020000}"/>
    <cellStyle name="Normal 9 2 3" xfId="581" xr:uid="{00000000-0005-0000-0000-000043020000}"/>
    <cellStyle name="Normal 9 3" xfId="582" xr:uid="{00000000-0005-0000-0000-000044020000}"/>
    <cellStyle name="Normal 90" xfId="583" xr:uid="{00000000-0005-0000-0000-000045020000}"/>
    <cellStyle name="Normal 91" xfId="584" xr:uid="{00000000-0005-0000-0000-000046020000}"/>
    <cellStyle name="Normal 92" xfId="585" xr:uid="{00000000-0005-0000-0000-000047020000}"/>
    <cellStyle name="Normal 92 2" xfId="586" xr:uid="{00000000-0005-0000-0000-000048020000}"/>
    <cellStyle name="Normal 93" xfId="587" xr:uid="{00000000-0005-0000-0000-000049020000}"/>
    <cellStyle name="Normal 93 2" xfId="588" xr:uid="{00000000-0005-0000-0000-00004A020000}"/>
    <cellStyle name="Normal 94" xfId="589" xr:uid="{00000000-0005-0000-0000-00004B020000}"/>
    <cellStyle name="Normal 95" xfId="590" xr:uid="{00000000-0005-0000-0000-00004C020000}"/>
    <cellStyle name="Normal 96" xfId="591" xr:uid="{00000000-0005-0000-0000-00004D020000}"/>
    <cellStyle name="Normal 97" xfId="592" xr:uid="{00000000-0005-0000-0000-00004E020000}"/>
    <cellStyle name="Normal 98" xfId="593" xr:uid="{00000000-0005-0000-0000-00004F020000}"/>
    <cellStyle name="Normal 99" xfId="594" xr:uid="{00000000-0005-0000-0000-000050020000}"/>
    <cellStyle name="Normal_2183 Regulated Price Out Final 6-7-2012" xfId="5" xr:uid="{00000000-0005-0000-0000-000051020000}"/>
    <cellStyle name="Normal_Proforma Yakima UTC-Nicki 2009" xfId="676" xr:uid="{00000000-0005-0000-0000-000052020000}"/>
    <cellStyle name="Normal_Regulated Price Out 9-6-2011 Final HL" xfId="4" xr:uid="{00000000-0005-0000-0000-000053020000}"/>
    <cellStyle name="Normal_Regulated-Non-Regulated Revenue" xfId="677" xr:uid="{00000000-0005-0000-0000-000054020000}"/>
    <cellStyle name="Note 2" xfId="595" xr:uid="{00000000-0005-0000-0000-000055020000}"/>
    <cellStyle name="Note 2 2" xfId="596" xr:uid="{00000000-0005-0000-0000-000056020000}"/>
    <cellStyle name="Note 2 3" xfId="597" xr:uid="{00000000-0005-0000-0000-000057020000}"/>
    <cellStyle name="Note 3" xfId="598" xr:uid="{00000000-0005-0000-0000-000058020000}"/>
    <cellStyle name="Note 3 2" xfId="599" xr:uid="{00000000-0005-0000-0000-000059020000}"/>
    <cellStyle name="Note 3 3" xfId="600" xr:uid="{00000000-0005-0000-0000-00005A020000}"/>
    <cellStyle name="Note 4" xfId="601" xr:uid="{00000000-0005-0000-0000-00005B020000}"/>
    <cellStyle name="Notes" xfId="602" xr:uid="{00000000-0005-0000-0000-00005C020000}"/>
    <cellStyle name="Output 2" xfId="603" xr:uid="{00000000-0005-0000-0000-00005D020000}"/>
    <cellStyle name="Output 3" xfId="604" xr:uid="{00000000-0005-0000-0000-00005E020000}"/>
    <cellStyle name="Output 3 2" xfId="605" xr:uid="{00000000-0005-0000-0000-00005F020000}"/>
    <cellStyle name="Percent" xfId="3" builtinId="5"/>
    <cellStyle name="Percent 10" xfId="606" xr:uid="{00000000-0005-0000-0000-000061020000}"/>
    <cellStyle name="Percent 11" xfId="679" xr:uid="{00000000-0005-0000-0000-000062020000}"/>
    <cellStyle name="Percent 12" xfId="680" xr:uid="{00000000-0005-0000-0000-000063020000}"/>
    <cellStyle name="Percent 2" xfId="607" xr:uid="{00000000-0005-0000-0000-000064020000}"/>
    <cellStyle name="Percent 2 2" xfId="608" xr:uid="{00000000-0005-0000-0000-000065020000}"/>
    <cellStyle name="Percent 2 2 2" xfId="609" xr:uid="{00000000-0005-0000-0000-000066020000}"/>
    <cellStyle name="Percent 2 2 3" xfId="610" xr:uid="{00000000-0005-0000-0000-000067020000}"/>
    <cellStyle name="Percent 2 3" xfId="611" xr:uid="{00000000-0005-0000-0000-000068020000}"/>
    <cellStyle name="Percent 2 4" xfId="612" xr:uid="{00000000-0005-0000-0000-000069020000}"/>
    <cellStyle name="Percent 2 6" xfId="613" xr:uid="{00000000-0005-0000-0000-00006A020000}"/>
    <cellStyle name="Percent 3" xfId="614" xr:uid="{00000000-0005-0000-0000-00006B020000}"/>
    <cellStyle name="Percent 3 2" xfId="615" xr:uid="{00000000-0005-0000-0000-00006C020000}"/>
    <cellStyle name="Percent 3 2 2" xfId="616" xr:uid="{00000000-0005-0000-0000-00006D020000}"/>
    <cellStyle name="Percent 3 3" xfId="617" xr:uid="{00000000-0005-0000-0000-00006E020000}"/>
    <cellStyle name="Percent 4" xfId="618" xr:uid="{00000000-0005-0000-0000-00006F020000}"/>
    <cellStyle name="Percent 4 2" xfId="619" xr:uid="{00000000-0005-0000-0000-000070020000}"/>
    <cellStyle name="Percent 4 3" xfId="620" xr:uid="{00000000-0005-0000-0000-000071020000}"/>
    <cellStyle name="Percent 4 4" xfId="621" xr:uid="{00000000-0005-0000-0000-000072020000}"/>
    <cellStyle name="Percent 5" xfId="622" xr:uid="{00000000-0005-0000-0000-000073020000}"/>
    <cellStyle name="Percent 5 2" xfId="623" xr:uid="{00000000-0005-0000-0000-000074020000}"/>
    <cellStyle name="Percent 5 2 2" xfId="624" xr:uid="{00000000-0005-0000-0000-000075020000}"/>
    <cellStyle name="Percent 5 3" xfId="625" xr:uid="{00000000-0005-0000-0000-000076020000}"/>
    <cellStyle name="Percent 5 4" xfId="626" xr:uid="{00000000-0005-0000-0000-000077020000}"/>
    <cellStyle name="Percent 6" xfId="627" xr:uid="{00000000-0005-0000-0000-000078020000}"/>
    <cellStyle name="Percent 6 2" xfId="628" xr:uid="{00000000-0005-0000-0000-000079020000}"/>
    <cellStyle name="Percent 7" xfId="629" xr:uid="{00000000-0005-0000-0000-00007A020000}"/>
    <cellStyle name="Percent 7 2" xfId="630" xr:uid="{00000000-0005-0000-0000-00007B020000}"/>
    <cellStyle name="Percent 7 3" xfId="631" xr:uid="{00000000-0005-0000-0000-00007C020000}"/>
    <cellStyle name="Percent 8" xfId="632" xr:uid="{00000000-0005-0000-0000-00007D020000}"/>
    <cellStyle name="Percent 9" xfId="633" xr:uid="{00000000-0005-0000-0000-00007E020000}"/>
    <cellStyle name="Percent(1)" xfId="634" xr:uid="{00000000-0005-0000-0000-00007F020000}"/>
    <cellStyle name="Percent(2)" xfId="635" xr:uid="{00000000-0005-0000-0000-000080020000}"/>
    <cellStyle name="Posting_Period" xfId="636" xr:uid="{00000000-0005-0000-0000-000081020000}"/>
    <cellStyle name="PRM" xfId="637" xr:uid="{00000000-0005-0000-0000-000082020000}"/>
    <cellStyle name="PRM 2" xfId="638" xr:uid="{00000000-0005-0000-0000-000083020000}"/>
    <cellStyle name="PRM 3" xfId="639" xr:uid="{00000000-0005-0000-0000-000084020000}"/>
    <cellStyle name="PRM_2011-11" xfId="640" xr:uid="{00000000-0005-0000-0000-000085020000}"/>
    <cellStyle name="PS_Comma" xfId="641" xr:uid="{00000000-0005-0000-0000-000086020000}"/>
    <cellStyle name="PSChar" xfId="642" xr:uid="{00000000-0005-0000-0000-000087020000}"/>
    <cellStyle name="PSDate" xfId="643" xr:uid="{00000000-0005-0000-0000-000088020000}"/>
    <cellStyle name="PSDec" xfId="644" xr:uid="{00000000-0005-0000-0000-000089020000}"/>
    <cellStyle name="PSHeading" xfId="645" xr:uid="{00000000-0005-0000-0000-00008A020000}"/>
    <cellStyle name="PSInt" xfId="646" xr:uid="{00000000-0005-0000-0000-00008B020000}"/>
    <cellStyle name="PSSpacer" xfId="647" xr:uid="{00000000-0005-0000-0000-00008C020000}"/>
    <cellStyle name="STYL0 - Style1" xfId="648" xr:uid="{00000000-0005-0000-0000-00008D020000}"/>
    <cellStyle name="STYL1 - Style2" xfId="649" xr:uid="{00000000-0005-0000-0000-00008E020000}"/>
    <cellStyle name="STYL2 - Style3" xfId="650" xr:uid="{00000000-0005-0000-0000-00008F020000}"/>
    <cellStyle name="STYL3 - Style4" xfId="651" xr:uid="{00000000-0005-0000-0000-000090020000}"/>
    <cellStyle name="STYL4 - Style5" xfId="652" xr:uid="{00000000-0005-0000-0000-000091020000}"/>
    <cellStyle name="STYL5 - Style6" xfId="653" xr:uid="{00000000-0005-0000-0000-000092020000}"/>
    <cellStyle name="STYL6 - Style7" xfId="654" xr:uid="{00000000-0005-0000-0000-000093020000}"/>
    <cellStyle name="STYL7 - Style8" xfId="655" xr:uid="{00000000-0005-0000-0000-000094020000}"/>
    <cellStyle name="Style 1" xfId="656" xr:uid="{00000000-0005-0000-0000-000095020000}"/>
    <cellStyle name="Style 1 2" xfId="657" xr:uid="{00000000-0005-0000-0000-000096020000}"/>
    <cellStyle name="STYLE1" xfId="658" xr:uid="{00000000-0005-0000-0000-000097020000}"/>
    <cellStyle name="STYLE1 2" xfId="659" xr:uid="{00000000-0005-0000-0000-000098020000}"/>
    <cellStyle name="sub heading" xfId="660" xr:uid="{00000000-0005-0000-0000-000099020000}"/>
    <cellStyle name="Tax_Rate" xfId="661" xr:uid="{00000000-0005-0000-0000-00009A020000}"/>
    <cellStyle name="Title 2" xfId="662" xr:uid="{00000000-0005-0000-0000-00009B020000}"/>
    <cellStyle name="Title 3" xfId="663" xr:uid="{00000000-0005-0000-0000-00009C020000}"/>
    <cellStyle name="Title 3 2" xfId="664" xr:uid="{00000000-0005-0000-0000-00009D020000}"/>
    <cellStyle name="Total 2" xfId="665" xr:uid="{00000000-0005-0000-0000-00009E020000}"/>
    <cellStyle name="Total 2 2" xfId="666" xr:uid="{00000000-0005-0000-0000-00009F020000}"/>
    <cellStyle name="Total 2 3" xfId="667" xr:uid="{00000000-0005-0000-0000-0000A0020000}"/>
    <cellStyle name="Total 3" xfId="668" xr:uid="{00000000-0005-0000-0000-0000A1020000}"/>
    <cellStyle name="Total 3 2" xfId="669" xr:uid="{00000000-0005-0000-0000-0000A2020000}"/>
    <cellStyle name="Total 3 3" xfId="670" xr:uid="{00000000-0005-0000-0000-0000A3020000}"/>
    <cellStyle name="Total 4" xfId="671" xr:uid="{00000000-0005-0000-0000-0000A4020000}"/>
    <cellStyle name="Transcript_Date" xfId="672" xr:uid="{00000000-0005-0000-0000-0000A5020000}"/>
    <cellStyle name="Warning Text 2" xfId="673" xr:uid="{00000000-0005-0000-0000-0000A6020000}"/>
    <cellStyle name="Warning Text 3" xfId="674" xr:uid="{00000000-0005-0000-0000-0000A7020000}"/>
    <cellStyle name="WM_STANDARD" xfId="675" xr:uid="{00000000-0005-0000-0000-0000A8020000}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microsoft.com/office/2017/10/relationships/person" Target="persons/person.xml"/><Relationship Id="rId48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UTC-Columbia%202025\General%20Filing%204-15-2016\Filed%204-15-16\CRD%20Pro%20forma%203-31-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2000%20Western%20Region%20Office/WUTC/WUTC-Clark%20County%202009/Rate%20Filing/Gen%20Rate%20Incr%207-1-22/Audit/FINAL/Staff%20new%20workbook.Clark%20Co%20Proforma%20YE%203.31.22%20(C)%20-%20FIN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Brent_Blair_Kortney\PO%20Report%20by%20Division\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ControllerDir\Brent_Blair_Kortney\PO%20Report%20by%20Division\PO%20Report_v3b%202013-08-2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Misc%20Analsysis%20Non-Filing\Pro%20froma%208.31.2013%20for%20Budgets\Consolidated%20Pro%20forma%20Year%20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JoeW/My%20Local%20Documents/OPF/Rate%20Reviews/2016/2016%20OPF%20Master%20DCR%20V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Murrey%20%202111\General%20Rate%20Filings\Rate%20Filing%201-1-2019\Fuel%20Stat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12.31.2010%20Test%20Year\Proforma%20Clark%20County%20101231%20Filing-Draft-FINAL%20VERSION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010%20Clark%20County-%202009%20Vancouver\12.31.2010%20Test%20Year\Proforma%20Clark%20County%20101231%20Filing-Draft-FINAL%20VERSI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andenburg\AppData\Roaming\Microsoft\Excel\DF%20Allocation%20Calculation%203.31%20(version%201).xlsb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WUTC/WIP%20Files/2010%20Clark%20County-%202009%20Vancouver/General%20Filings/3.31.22%20Rate%20Review/40139%20Suppor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WUTC/WIP%20Files/2010%20Clark%20County-%202009%20Vancouver/General%20Filings/3.31.22%20Rate%20Review/DF%20Allocation%20Calculation%203.31.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s Restating Adj"/>
      <sheetName val="Staff Proforma ADJ"/>
      <sheetName val="2010 IS (C)"/>
      <sheetName val="Master IS (C)"/>
      <sheetName val="LOB (C)"/>
      <sheetName val="Restating Adj (C)"/>
      <sheetName val="Pro forma Adj (C)"/>
      <sheetName val="Allocators (C)"/>
      <sheetName val="Proposed Rates"/>
      <sheetName val="Automation Data"/>
      <sheetName val="Clark Co. Regulated - Price Out"/>
      <sheetName val="LG Public"/>
      <sheetName val="LG Public-No Automation"/>
      <sheetName val="2022 Vancouver Payroll"/>
      <sheetName val="Job Postings"/>
      <sheetName val="Dep Summary (C)"/>
      <sheetName val="Disposal"/>
      <sheetName val="Shop Outside Labor (C)"/>
      <sheetName val="2010 BS 2022.03 (C)"/>
      <sheetName val="2010 BS 2021.03 (C)"/>
      <sheetName val="Insurance Claims JE Query (C)"/>
      <sheetName val="3 Yr Insurance (C)"/>
      <sheetName val="43001 JE Query"/>
      <sheetName val="57170 JE Query"/>
      <sheetName val="70195 JE Query (C)"/>
      <sheetName val="41201 JE Query"/>
      <sheetName val="70225 JE Query"/>
      <sheetName val="70255 JE Query (C)"/>
      <sheetName val="91010 JE Query"/>
      <sheetName val="10070 JE Query"/>
      <sheetName val="70235 JE Query (C)"/>
      <sheetName val="Interject_LastPulledValues"/>
      <sheetName val="DVP-DivCon Allocs  (C)"/>
      <sheetName val="Region OH (C)"/>
      <sheetName val="Corp-OH (C)"/>
      <sheetName val="Corp BS &amp; IS"/>
    </sheetNames>
    <sheetDataSet>
      <sheetData sheetId="0"/>
      <sheetData sheetId="1"/>
      <sheetData sheetId="2"/>
      <sheetData sheetId="3">
        <row r="29">
          <cell r="E29">
            <v>8455261.0300000012</v>
          </cell>
        </row>
        <row r="150">
          <cell r="E150">
            <v>25898341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83">
          <cell r="AF283">
            <v>30392.812145581309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D6">
            <v>10000</v>
          </cell>
        </row>
        <row r="12">
          <cell r="I12" t="str">
            <v>2021-04</v>
          </cell>
        </row>
        <row r="13">
          <cell r="I13" t="str">
            <v>2022-03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BS"/>
      <sheetName val="2010 BS"/>
      <sheetName val="2009 IS"/>
      <sheetName val="2010 IS"/>
      <sheetName val="Consolidated IS"/>
      <sheetName val="Alloc %"/>
      <sheetName val="Rest Expl"/>
      <sheetName val="Prof Expl"/>
      <sheetName val="2009 Price Out (REG)"/>
      <sheetName val="LG-Total Reg"/>
      <sheetName val="LG-Pckr"/>
      <sheetName val="LG-RO"/>
      <sheetName val="2009-2010"/>
      <sheetName val="2009 Depr Summary"/>
      <sheetName val="2009 Trks"/>
      <sheetName val="2009 Cont, DB"/>
      <sheetName val="2009 Serv, Shop"/>
      <sheetName val="2009 Office"/>
      <sheetName val="2009 Leasehold"/>
      <sheetName val="2010 Deprec Summary"/>
      <sheetName val="2010 Trks"/>
      <sheetName val="2010 Cont, DB"/>
      <sheetName val="2010 Serv, Shop"/>
      <sheetName val="2010 Office"/>
      <sheetName val="2010 Leaseh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/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/>
          <cell r="I13"/>
          <cell r="J13"/>
          <cell r="K13"/>
          <cell r="L13">
            <v>0</v>
          </cell>
          <cell r="M13"/>
          <cell r="N13"/>
          <cell r="O13">
            <v>0</v>
          </cell>
          <cell r="P13">
            <v>0</v>
          </cell>
          <cell r="Q13"/>
          <cell r="R13"/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  <cell r="Y13"/>
          <cell r="Z13"/>
          <cell r="AA13">
            <v>0</v>
          </cell>
          <cell r="AB13">
            <v>0</v>
          </cell>
          <cell r="AC13"/>
          <cell r="AD13"/>
          <cell r="AE13">
            <v>0</v>
          </cell>
          <cell r="AF13">
            <v>0</v>
          </cell>
          <cell r="AG13">
            <v>132534.08000000002</v>
          </cell>
          <cell r="AH13"/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/>
          <cell r="I14"/>
          <cell r="J14"/>
          <cell r="K14"/>
          <cell r="L14">
            <v>0</v>
          </cell>
          <cell r="M14"/>
          <cell r="N14"/>
          <cell r="O14">
            <v>0</v>
          </cell>
          <cell r="P14">
            <v>0</v>
          </cell>
          <cell r="Q14"/>
          <cell r="R14"/>
          <cell r="S14">
            <v>0</v>
          </cell>
          <cell r="T14">
            <v>0</v>
          </cell>
          <cell r="U14"/>
          <cell r="V14"/>
          <cell r="W14">
            <v>0</v>
          </cell>
          <cell r="X14">
            <v>0</v>
          </cell>
          <cell r="Y14"/>
          <cell r="Z14"/>
          <cell r="AA14">
            <v>0</v>
          </cell>
          <cell r="AB14">
            <v>0</v>
          </cell>
          <cell r="AC14"/>
          <cell r="AD14"/>
          <cell r="AE14">
            <v>0</v>
          </cell>
          <cell r="AF14">
            <v>0</v>
          </cell>
          <cell r="AG14"/>
          <cell r="AH14"/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/>
          <cell r="I15"/>
          <cell r="J15"/>
          <cell r="K15"/>
          <cell r="L15">
            <v>0</v>
          </cell>
          <cell r="M15"/>
          <cell r="N15"/>
          <cell r="O15">
            <v>0</v>
          </cell>
          <cell r="P15">
            <v>0</v>
          </cell>
          <cell r="Q15"/>
          <cell r="R15"/>
          <cell r="S15">
            <v>0</v>
          </cell>
          <cell r="T15">
            <v>0</v>
          </cell>
          <cell r="U15"/>
          <cell r="V15"/>
          <cell r="W15">
            <v>0</v>
          </cell>
          <cell r="X15">
            <v>0</v>
          </cell>
          <cell r="Y15"/>
          <cell r="Z15"/>
          <cell r="AA15">
            <v>0</v>
          </cell>
          <cell r="AB15">
            <v>0</v>
          </cell>
          <cell r="AC15"/>
          <cell r="AD15"/>
          <cell r="AE15">
            <v>0</v>
          </cell>
          <cell r="AF15">
            <v>0</v>
          </cell>
          <cell r="AG15"/>
          <cell r="AH15"/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/>
          <cell r="I16"/>
          <cell r="J16"/>
          <cell r="K16"/>
          <cell r="L16">
            <v>0</v>
          </cell>
          <cell r="M16"/>
          <cell r="N16"/>
          <cell r="O16">
            <v>0</v>
          </cell>
          <cell r="P16">
            <v>0</v>
          </cell>
          <cell r="Q16"/>
          <cell r="R16"/>
          <cell r="S16">
            <v>0</v>
          </cell>
          <cell r="T16">
            <v>0</v>
          </cell>
          <cell r="U16"/>
          <cell r="V16"/>
          <cell r="W16">
            <v>0</v>
          </cell>
          <cell r="X16">
            <v>0</v>
          </cell>
          <cell r="Y16"/>
          <cell r="Z16"/>
          <cell r="AA16">
            <v>0</v>
          </cell>
          <cell r="AB16">
            <v>0</v>
          </cell>
          <cell r="AC16"/>
          <cell r="AD16"/>
          <cell r="AE16">
            <v>0</v>
          </cell>
          <cell r="AF16">
            <v>0</v>
          </cell>
          <cell r="AG16"/>
          <cell r="AH16"/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/>
          <cell r="I17"/>
          <cell r="J17"/>
          <cell r="K17"/>
          <cell r="L17">
            <v>0</v>
          </cell>
          <cell r="M17"/>
          <cell r="N17"/>
          <cell r="O17">
            <v>0</v>
          </cell>
          <cell r="P17">
            <v>0</v>
          </cell>
          <cell r="Q17"/>
          <cell r="R17"/>
          <cell r="S17">
            <v>0</v>
          </cell>
          <cell r="T17">
            <v>0</v>
          </cell>
          <cell r="U17"/>
          <cell r="V17"/>
          <cell r="W17">
            <v>0</v>
          </cell>
          <cell r="X17">
            <v>0</v>
          </cell>
          <cell r="Y17"/>
          <cell r="Z17"/>
          <cell r="AA17">
            <v>0</v>
          </cell>
          <cell r="AB17">
            <v>0</v>
          </cell>
          <cell r="AC17"/>
          <cell r="AD17"/>
          <cell r="AE17">
            <v>0</v>
          </cell>
          <cell r="AF17">
            <v>0</v>
          </cell>
          <cell r="AG17"/>
          <cell r="AH17"/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/>
          <cell r="I18"/>
          <cell r="J18"/>
          <cell r="K18"/>
          <cell r="L18">
            <v>0</v>
          </cell>
          <cell r="M18"/>
          <cell r="N18"/>
          <cell r="O18">
            <v>0</v>
          </cell>
          <cell r="P18">
            <v>0</v>
          </cell>
          <cell r="Q18"/>
          <cell r="R18"/>
          <cell r="S18">
            <v>0</v>
          </cell>
          <cell r="T18">
            <v>0</v>
          </cell>
          <cell r="U18"/>
          <cell r="V18"/>
          <cell r="W18">
            <v>0</v>
          </cell>
          <cell r="X18">
            <v>0</v>
          </cell>
          <cell r="Y18"/>
          <cell r="Z18"/>
          <cell r="AA18">
            <v>0</v>
          </cell>
          <cell r="AB18">
            <v>0</v>
          </cell>
          <cell r="AC18"/>
          <cell r="AD18"/>
          <cell r="AE18">
            <v>0</v>
          </cell>
          <cell r="AF18">
            <v>0</v>
          </cell>
          <cell r="AG18"/>
          <cell r="AH18"/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/>
          <cell r="I19"/>
          <cell r="J19"/>
          <cell r="K19"/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/>
          <cell r="AH19"/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/>
          <cell r="I20"/>
          <cell r="J20"/>
          <cell r="K20"/>
          <cell r="L20">
            <v>0</v>
          </cell>
          <cell r="M20"/>
          <cell r="N20"/>
          <cell r="O20">
            <v>0</v>
          </cell>
          <cell r="P20">
            <v>0</v>
          </cell>
          <cell r="Q20"/>
          <cell r="R20"/>
          <cell r="S20">
            <v>0</v>
          </cell>
          <cell r="T20">
            <v>0</v>
          </cell>
          <cell r="U20"/>
          <cell r="V20"/>
          <cell r="W20">
            <v>0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/>
          <cell r="AH20"/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/>
          <cell r="I21"/>
          <cell r="J21"/>
          <cell r="K21"/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/>
          <cell r="AH21"/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/>
          <cell r="I22"/>
          <cell r="J22"/>
          <cell r="K22"/>
          <cell r="L22">
            <v>0</v>
          </cell>
          <cell r="M22"/>
          <cell r="N22"/>
          <cell r="O22">
            <v>0</v>
          </cell>
          <cell r="P22">
            <v>0</v>
          </cell>
          <cell r="Q22"/>
          <cell r="R22"/>
          <cell r="S22">
            <v>0</v>
          </cell>
          <cell r="T22">
            <v>0</v>
          </cell>
          <cell r="U22"/>
          <cell r="V22"/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/>
          <cell r="AD22"/>
          <cell r="AE22">
            <v>0</v>
          </cell>
          <cell r="AF22">
            <v>0</v>
          </cell>
          <cell r="AG22"/>
          <cell r="AH22"/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/>
          <cell r="I23"/>
          <cell r="J23"/>
          <cell r="K23"/>
          <cell r="L23">
            <v>0</v>
          </cell>
          <cell r="O23">
            <v>0</v>
          </cell>
          <cell r="P23">
            <v>0</v>
          </cell>
          <cell r="Q23"/>
          <cell r="S23">
            <v>0</v>
          </cell>
          <cell r="T23">
            <v>0</v>
          </cell>
          <cell r="U23"/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/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/>
          <cell r="I24"/>
          <cell r="J24"/>
          <cell r="K24"/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/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/>
          <cell r="I25"/>
          <cell r="J25"/>
          <cell r="K25"/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/>
          <cell r="W25">
            <v>0</v>
          </cell>
          <cell r="X25">
            <v>0</v>
          </cell>
          <cell r="Y25"/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/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/>
          <cell r="I26"/>
          <cell r="J26"/>
          <cell r="K26"/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/>
          <cell r="W26">
            <v>0</v>
          </cell>
          <cell r="X26">
            <v>0</v>
          </cell>
          <cell r="Y26"/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/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/>
          <cell r="I27"/>
          <cell r="J27"/>
          <cell r="K27"/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/>
          <cell r="W27">
            <v>0</v>
          </cell>
          <cell r="X27">
            <v>0</v>
          </cell>
          <cell r="Y27"/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/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/>
          <cell r="I28"/>
          <cell r="J28"/>
          <cell r="K28"/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/>
          <cell r="W28">
            <v>0</v>
          </cell>
          <cell r="X28">
            <v>0</v>
          </cell>
          <cell r="Y28"/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/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/>
          <cell r="I29"/>
          <cell r="J29"/>
          <cell r="K29"/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/>
          <cell r="W29">
            <v>0</v>
          </cell>
          <cell r="X29">
            <v>0</v>
          </cell>
          <cell r="Y29"/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/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/>
          <cell r="I30"/>
          <cell r="K30"/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/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/>
          <cell r="I31"/>
          <cell r="K31"/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/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/>
          <cell r="I32"/>
          <cell r="K32"/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/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/>
          <cell r="I33"/>
          <cell r="J33"/>
          <cell r="K33"/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/>
          <cell r="W33">
            <v>0</v>
          </cell>
          <cell r="X33">
            <v>0</v>
          </cell>
          <cell r="Y33"/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/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/>
          <cell r="I34"/>
          <cell r="K34"/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/>
          <cell r="AD34"/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/>
          <cell r="I35"/>
          <cell r="K35"/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/>
          <cell r="AD35"/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/>
          <cell r="I36"/>
          <cell r="K36"/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/>
          <cell r="AD36"/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/>
          <cell r="I37"/>
          <cell r="K37"/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/>
          <cell r="AD37"/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/>
          <cell r="I38"/>
          <cell r="K38"/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/>
          <cell r="AD38"/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/>
          <cell r="I39"/>
          <cell r="K39"/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/>
          <cell r="AD39"/>
          <cell r="AE39">
            <v>0</v>
          </cell>
          <cell r="AF39">
            <v>0</v>
          </cell>
          <cell r="AI39">
            <v>0</v>
          </cell>
        </row>
        <row r="40">
          <cell r="E40"/>
          <cell r="F40"/>
          <cell r="G40"/>
          <cell r="H40"/>
          <cell r="I40"/>
          <cell r="K40"/>
          <cell r="L40"/>
          <cell r="O40"/>
          <cell r="P40"/>
          <cell r="S40"/>
          <cell r="T40"/>
          <cell r="W40"/>
          <cell r="X40"/>
          <cell r="AA40"/>
          <cell r="AB40"/>
          <cell r="AC40"/>
          <cell r="AD40"/>
          <cell r="AE40"/>
          <cell r="AF40"/>
          <cell r="AI40"/>
        </row>
        <row r="41">
          <cell r="E41"/>
          <cell r="F41"/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/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/>
          <cell r="F42"/>
          <cell r="G42"/>
          <cell r="H42"/>
          <cell r="I42"/>
          <cell r="K42"/>
        </row>
        <row r="43">
          <cell r="E43"/>
          <cell r="F43"/>
          <cell r="G43"/>
          <cell r="H43"/>
          <cell r="I43"/>
          <cell r="J43"/>
          <cell r="K43"/>
        </row>
        <row r="44">
          <cell r="E44"/>
          <cell r="F44"/>
          <cell r="G44"/>
          <cell r="H44"/>
          <cell r="I44"/>
          <cell r="J44"/>
          <cell r="K44"/>
        </row>
        <row r="45">
          <cell r="E45"/>
          <cell r="F45"/>
          <cell r="G45"/>
          <cell r="H45"/>
          <cell r="I45"/>
          <cell r="J45"/>
          <cell r="K45"/>
          <cell r="M45" t="str">
            <v>NEED TO CHECK PERCENTS AGAINST THE BLACK BOX!</v>
          </cell>
          <cell r="N45"/>
          <cell r="O45"/>
          <cell r="P45"/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/>
          <cell r="I46"/>
          <cell r="J46"/>
          <cell r="K46"/>
          <cell r="L46">
            <v>0</v>
          </cell>
          <cell r="M46">
            <v>295020.6315689031</v>
          </cell>
          <cell r="N46"/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/>
          <cell r="I47"/>
          <cell r="J47"/>
          <cell r="K47"/>
          <cell r="L47">
            <v>0</v>
          </cell>
          <cell r="M47"/>
          <cell r="N47"/>
          <cell r="O47">
            <v>0</v>
          </cell>
          <cell r="P47">
            <v>0</v>
          </cell>
          <cell r="Q47"/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/>
          <cell r="AE47">
            <v>0</v>
          </cell>
          <cell r="AF47">
            <v>0</v>
          </cell>
          <cell r="AG47"/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/>
          <cell r="I48"/>
          <cell r="J48"/>
          <cell r="K48"/>
          <cell r="L48">
            <v>0</v>
          </cell>
          <cell r="M48"/>
          <cell r="N48"/>
          <cell r="O48">
            <v>0</v>
          </cell>
          <cell r="P48">
            <v>0</v>
          </cell>
          <cell r="Q48"/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/>
          <cell r="AE48">
            <v>0</v>
          </cell>
          <cell r="AF48">
            <v>0</v>
          </cell>
          <cell r="AG48"/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/>
          <cell r="I49"/>
          <cell r="J49"/>
          <cell r="K49"/>
          <cell r="L49">
            <v>0</v>
          </cell>
          <cell r="M49"/>
          <cell r="N49"/>
          <cell r="O49">
            <v>0</v>
          </cell>
          <cell r="P49">
            <v>0</v>
          </cell>
          <cell r="Q49"/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/>
          <cell r="AE49">
            <v>0</v>
          </cell>
          <cell r="AF49">
            <v>0</v>
          </cell>
          <cell r="AG49"/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/>
          <cell r="I50"/>
          <cell r="J50"/>
          <cell r="K50"/>
          <cell r="L50">
            <v>0</v>
          </cell>
          <cell r="M50"/>
          <cell r="N50"/>
          <cell r="O50">
            <v>0</v>
          </cell>
          <cell r="P50">
            <v>0</v>
          </cell>
          <cell r="Q50"/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/>
          <cell r="AE50">
            <v>0</v>
          </cell>
          <cell r="AF50">
            <v>0</v>
          </cell>
          <cell r="AG50"/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/>
          <cell r="J51"/>
          <cell r="K51"/>
          <cell r="L51">
            <v>0</v>
          </cell>
          <cell r="M51"/>
          <cell r="N51"/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/>
          <cell r="AD51"/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/>
          <cell r="I52"/>
          <cell r="J52"/>
          <cell r="K52"/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/>
          <cell r="W52">
            <v>0</v>
          </cell>
          <cell r="X52">
            <v>0</v>
          </cell>
          <cell r="Y52"/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/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/>
          <cell r="I53"/>
          <cell r="J53"/>
          <cell r="K53"/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/>
          <cell r="S53">
            <v>60225.333011235838</v>
          </cell>
          <cell r="T53">
            <v>0</v>
          </cell>
          <cell r="U53"/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/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/>
          <cell r="I54"/>
          <cell r="J54"/>
          <cell r="K54"/>
          <cell r="L54">
            <v>0</v>
          </cell>
          <cell r="O54">
            <v>0</v>
          </cell>
          <cell r="P54">
            <v>0</v>
          </cell>
          <cell r="R54"/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/>
          <cell r="AD54"/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/>
          <cell r="I55"/>
          <cell r="J55"/>
          <cell r="K55"/>
          <cell r="L55">
            <v>0</v>
          </cell>
          <cell r="O55">
            <v>0</v>
          </cell>
          <cell r="P55">
            <v>0</v>
          </cell>
          <cell r="R55"/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/>
          <cell r="AD55"/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/>
          <cell r="I56"/>
          <cell r="J56"/>
          <cell r="K56"/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/>
          <cell r="AD56"/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/>
          <cell r="I57"/>
          <cell r="J57"/>
          <cell r="K57"/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/>
          <cell r="AD57"/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/>
          <cell r="I58"/>
          <cell r="J58"/>
          <cell r="K58"/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/>
          <cell r="AD58"/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/>
          <cell r="I59">
            <v>0</v>
          </cell>
          <cell r="J59"/>
          <cell r="K59"/>
          <cell r="L59">
            <v>109907.81996125523</v>
          </cell>
          <cell r="M59"/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/>
          <cell r="AD59"/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/>
          <cell r="I60"/>
          <cell r="J60"/>
          <cell r="K60"/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/>
          <cell r="AD60"/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/>
          <cell r="I61"/>
          <cell r="J61"/>
          <cell r="K61"/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/>
          <cell r="AD61"/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/>
          <cell r="I62"/>
          <cell r="J62"/>
          <cell r="K62"/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/>
          <cell r="AD62"/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/>
          <cell r="I63"/>
          <cell r="J63"/>
          <cell r="K63"/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/>
          <cell r="AD63"/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/>
          <cell r="I64"/>
          <cell r="J64"/>
          <cell r="K64"/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/>
          <cell r="AD64"/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/>
          <cell r="I65"/>
          <cell r="J65"/>
          <cell r="K65"/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/>
          <cell r="AD65"/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/>
          <cell r="I66"/>
          <cell r="J66"/>
          <cell r="K66"/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/>
          <cell r="AD66"/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/>
          <cell r="I67"/>
          <cell r="J67"/>
          <cell r="K67"/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/>
          <cell r="AD67"/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/>
          <cell r="I68"/>
          <cell r="J68"/>
          <cell r="K68"/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/>
          <cell r="AD68"/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/>
          <cell r="I69"/>
          <cell r="J69"/>
          <cell r="K69"/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/>
          <cell r="AD69"/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/>
          <cell r="I70"/>
          <cell r="J70"/>
          <cell r="K70"/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/>
          <cell r="AD70"/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/>
          <cell r="I71"/>
          <cell r="J71"/>
          <cell r="K71"/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/>
          <cell r="AD71"/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/>
          <cell r="I72"/>
          <cell r="J72"/>
          <cell r="K72"/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/>
          <cell r="AD72"/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/>
          <cell r="I73"/>
          <cell r="J73"/>
          <cell r="K73"/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/>
          <cell r="AD73"/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/>
          <cell r="I74"/>
          <cell r="J74"/>
          <cell r="K74"/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/>
          <cell r="AD74"/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/>
          <cell r="I75"/>
          <cell r="J75"/>
          <cell r="K75"/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/>
          <cell r="AD75"/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/>
          <cell r="I76"/>
          <cell r="J76"/>
          <cell r="K76"/>
          <cell r="L76">
            <v>0</v>
          </cell>
          <cell r="O76">
            <v>0</v>
          </cell>
          <cell r="P76">
            <v>0</v>
          </cell>
          <cell r="Q76"/>
          <cell r="R76"/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/>
          <cell r="AD76"/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/>
          <cell r="I77"/>
          <cell r="J77"/>
          <cell r="K77"/>
          <cell r="L77">
            <v>28308.571266994888</v>
          </cell>
          <cell r="O77">
            <v>28308.571266994888</v>
          </cell>
          <cell r="P77">
            <v>17720.604324025688</v>
          </cell>
          <cell r="Q77"/>
          <cell r="R77"/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/>
          <cell r="AD77"/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/>
          <cell r="I78"/>
          <cell r="J78"/>
          <cell r="K78"/>
          <cell r="L78">
            <v>1693.6444886329532</v>
          </cell>
          <cell r="O78">
            <v>1693.6444886329532</v>
          </cell>
          <cell r="P78">
            <v>857.52611642594184</v>
          </cell>
          <cell r="Q78"/>
          <cell r="R78"/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/>
          <cell r="AD78"/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/>
          <cell r="I79"/>
          <cell r="J79"/>
          <cell r="K79"/>
          <cell r="L79">
            <v>0</v>
          </cell>
          <cell r="O79">
            <v>0</v>
          </cell>
          <cell r="P79">
            <v>0</v>
          </cell>
          <cell r="Q79"/>
          <cell r="R79"/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/>
          <cell r="AD79"/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/>
          <cell r="I80"/>
          <cell r="J80"/>
          <cell r="K80"/>
          <cell r="L80">
            <v>8534.5623532853224</v>
          </cell>
          <cell r="O80">
            <v>8534.5623532853224</v>
          </cell>
          <cell r="P80">
            <v>4321.219806947277</v>
          </cell>
          <cell r="Q80"/>
          <cell r="R80"/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/>
          <cell r="AD80"/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/>
          <cell r="I81"/>
          <cell r="J81"/>
          <cell r="K81"/>
          <cell r="L81">
            <v>1395.9778677125855</v>
          </cell>
          <cell r="O81">
            <v>1395.9778677125855</v>
          </cell>
          <cell r="P81">
            <v>706.81154607740905</v>
          </cell>
          <cell r="Q81"/>
          <cell r="R81"/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/>
          <cell r="AD81"/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/>
          <cell r="I82"/>
          <cell r="J82"/>
          <cell r="K82"/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/>
          <cell r="AD82"/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/>
          <cell r="I83"/>
          <cell r="J83"/>
          <cell r="K83"/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/>
          <cell r="AD83"/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/>
          <cell r="I84"/>
          <cell r="J84"/>
          <cell r="K84"/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/>
          <cell r="AD84"/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/>
          <cell r="I85"/>
          <cell r="J85"/>
          <cell r="K85"/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/>
          <cell r="AD85"/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/>
          <cell r="I86"/>
          <cell r="J86"/>
          <cell r="K86"/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/>
          <cell r="AD86"/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/>
          <cell r="I87"/>
          <cell r="J87"/>
          <cell r="K87"/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/>
          <cell r="AD87"/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/>
          <cell r="I88"/>
          <cell r="J88"/>
          <cell r="K88"/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/>
          <cell r="AD88"/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/>
          <cell r="I89"/>
          <cell r="J89"/>
          <cell r="K89"/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/>
          <cell r="AD89"/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/>
          <cell r="I90"/>
          <cell r="J90"/>
          <cell r="K90"/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/>
          <cell r="AD90"/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/>
          <cell r="I91"/>
          <cell r="J91"/>
          <cell r="K91"/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/>
          <cell r="AD91"/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/>
          <cell r="I92"/>
          <cell r="J92"/>
          <cell r="K92"/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/>
          <cell r="AD92"/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/>
          <cell r="I93"/>
          <cell r="J93"/>
          <cell r="K93"/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/>
          <cell r="AD93"/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/>
          <cell r="I94"/>
          <cell r="J94"/>
          <cell r="K94"/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/>
          <cell r="AD94"/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/>
          <cell r="I95"/>
          <cell r="J95"/>
          <cell r="K95"/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/>
          <cell r="AD95"/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/>
          <cell r="I96"/>
          <cell r="J96"/>
          <cell r="K96"/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/>
          <cell r="AD96"/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/>
          <cell r="I97"/>
          <cell r="J97"/>
          <cell r="K97"/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/>
          <cell r="AD97"/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/>
          <cell r="I98"/>
          <cell r="J98"/>
          <cell r="K98"/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/>
          <cell r="AD98"/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/>
          <cell r="I99"/>
          <cell r="J99"/>
          <cell r="K99"/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/>
          <cell r="AD99"/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/>
          <cell r="I100"/>
          <cell r="J100"/>
          <cell r="K100"/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/>
          <cell r="AD100"/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/>
          <cell r="I101"/>
          <cell r="J101"/>
          <cell r="K101"/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/>
          <cell r="AD101"/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/>
          <cell r="I102"/>
          <cell r="J102"/>
          <cell r="K102"/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/>
          <cell r="AD102"/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/>
          <cell r="I103"/>
          <cell r="J103"/>
          <cell r="K103"/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/>
          <cell r="AD103"/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/>
          <cell r="I104"/>
          <cell r="J104"/>
          <cell r="K104"/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/>
          <cell r="AD104"/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/>
          <cell r="I105"/>
          <cell r="J105"/>
          <cell r="K105"/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/>
          <cell r="AD105"/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/>
          <cell r="I106"/>
          <cell r="J106"/>
          <cell r="K106"/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/>
          <cell r="AD106"/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/>
          <cell r="I107"/>
          <cell r="J107"/>
          <cell r="K107"/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/>
          <cell r="AD107"/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/>
          <cell r="I108"/>
          <cell r="J108"/>
          <cell r="K108"/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/>
          <cell r="AD108"/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/>
          <cell r="I109"/>
          <cell r="J109"/>
          <cell r="K109"/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/>
          <cell r="AD109"/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/>
          <cell r="I110"/>
          <cell r="J110"/>
          <cell r="K110"/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/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/>
          <cell r="I111"/>
          <cell r="J111"/>
          <cell r="K111"/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/>
          <cell r="AD111"/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/>
          <cell r="I112"/>
          <cell r="J112"/>
          <cell r="K112"/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/>
          <cell r="AD112"/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/>
          <cell r="I113"/>
          <cell r="J113"/>
          <cell r="K113"/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/>
          <cell r="AD113"/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/>
          <cell r="I114"/>
          <cell r="J114"/>
          <cell r="K114"/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/>
          <cell r="AD114"/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/>
          <cell r="I115"/>
          <cell r="J115"/>
          <cell r="K115"/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/>
          <cell r="AD115"/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/>
          <cell r="I116"/>
          <cell r="J116"/>
          <cell r="K116"/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/>
          <cell r="AD116"/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/>
          <cell r="I117"/>
          <cell r="J117"/>
          <cell r="K117"/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/>
          <cell r="AD117"/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/>
          <cell r="I118"/>
          <cell r="J118"/>
          <cell r="K118"/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/>
          <cell r="AD118"/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/>
          <cell r="I119"/>
          <cell r="J119"/>
          <cell r="K119"/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/>
          <cell r="AD119"/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/>
          <cell r="I120"/>
          <cell r="J120"/>
          <cell r="K120"/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/>
          <cell r="AD120"/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/>
          <cell r="I121"/>
          <cell r="J121"/>
          <cell r="K121"/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/>
          <cell r="AD121"/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/>
          <cell r="I122"/>
          <cell r="J122"/>
          <cell r="K122"/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/>
          <cell r="AD122"/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/>
          <cell r="I123"/>
          <cell r="J123"/>
          <cell r="K123"/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/>
          <cell r="AD123"/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/>
          <cell r="I124"/>
          <cell r="J124"/>
          <cell r="K124"/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/>
          <cell r="AD124"/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/>
          <cell r="I125"/>
          <cell r="J125"/>
          <cell r="K125"/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/>
          <cell r="AD125"/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/>
          <cell r="I126"/>
          <cell r="J126"/>
          <cell r="K126"/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/>
          <cell r="AD126"/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/>
          <cell r="I127"/>
          <cell r="J127"/>
          <cell r="K127"/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/>
          <cell r="AD127"/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/>
          <cell r="I128"/>
          <cell r="J128"/>
          <cell r="K128"/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/>
          <cell r="AD128"/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/>
          <cell r="I129"/>
          <cell r="J129"/>
          <cell r="K129"/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/>
          <cell r="AD129"/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/>
          <cell r="I130"/>
          <cell r="J130"/>
          <cell r="K130"/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/>
          <cell r="AD130"/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/>
          <cell r="I131"/>
          <cell r="J131"/>
          <cell r="K131"/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/>
          <cell r="AD131"/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/>
          <cell r="I132"/>
          <cell r="J132"/>
          <cell r="K132"/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/>
          <cell r="AD132"/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/>
          <cell r="I133"/>
          <cell r="J133"/>
          <cell r="K133"/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/>
          <cell r="AD133"/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/>
          <cell r="I134"/>
          <cell r="J134"/>
          <cell r="K134"/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/>
          <cell r="AD134"/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/>
          <cell r="I135"/>
          <cell r="J135"/>
          <cell r="K135"/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/>
          <cell r="AD135"/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/>
          <cell r="I136"/>
          <cell r="J136"/>
          <cell r="K136"/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/>
          <cell r="AD136"/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/>
          <cell r="I137"/>
          <cell r="J137"/>
          <cell r="K137"/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/>
          <cell r="AD137"/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/>
          <cell r="I138"/>
          <cell r="J138"/>
          <cell r="K138"/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/>
          <cell r="AD138"/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/>
          <cell r="I139"/>
          <cell r="J139"/>
          <cell r="K139"/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/>
          <cell r="AD139"/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/>
          <cell r="I140"/>
          <cell r="J140"/>
          <cell r="K140"/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/>
          <cell r="AD140"/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/>
          <cell r="I141"/>
          <cell r="J141"/>
          <cell r="K141"/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/>
          <cell r="AD141"/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/>
          <cell r="I142"/>
          <cell r="J142"/>
          <cell r="K142"/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/>
          <cell r="AD142"/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/>
          <cell r="I143"/>
          <cell r="J143"/>
          <cell r="K143"/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/>
          <cell r="AD143"/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/>
          <cell r="I144"/>
          <cell r="J144"/>
          <cell r="K144"/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/>
          <cell r="AD144"/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/>
          <cell r="I145"/>
          <cell r="J145"/>
          <cell r="K145"/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/>
          <cell r="AD145"/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/>
          <cell r="I146"/>
          <cell r="J146"/>
          <cell r="K146"/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/>
          <cell r="AD146"/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/>
          <cell r="I147"/>
          <cell r="J147"/>
          <cell r="K147"/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/>
          <cell r="AD147"/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/>
          <cell r="I148"/>
          <cell r="J148"/>
          <cell r="K148"/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/>
          <cell r="AD148"/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/>
          <cell r="I149"/>
          <cell r="J149"/>
          <cell r="K149"/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/>
          <cell r="AD149"/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/>
          <cell r="I150"/>
          <cell r="J150"/>
          <cell r="K150"/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/>
          <cell r="AD150"/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/>
          <cell r="I151"/>
          <cell r="J151"/>
          <cell r="K151"/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/>
          <cell r="AD151"/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/>
          <cell r="I152"/>
          <cell r="J152"/>
          <cell r="K152"/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/>
          <cell r="AD152"/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/>
          <cell r="I153"/>
          <cell r="J153"/>
          <cell r="K153"/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/>
          <cell r="AD153"/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/>
          <cell r="I154"/>
          <cell r="J154"/>
          <cell r="K154"/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/>
          <cell r="AD154"/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/>
          <cell r="I155"/>
          <cell r="J155"/>
          <cell r="K155"/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/>
          <cell r="AD155"/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/>
          <cell r="I156"/>
          <cell r="J156"/>
          <cell r="K156"/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/>
          <cell r="AD156"/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/>
          <cell r="I157"/>
          <cell r="J157"/>
          <cell r="K157"/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/>
          <cell r="AD157"/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/>
          <cell r="I158"/>
          <cell r="J158"/>
          <cell r="K158"/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/>
          <cell r="AD158"/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/>
          <cell r="I159"/>
          <cell r="J159"/>
          <cell r="K159"/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/>
          <cell r="AD159"/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/>
          <cell r="I160"/>
          <cell r="J160"/>
          <cell r="K160"/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/>
          <cell r="AD160"/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/>
          <cell r="I161"/>
          <cell r="J161"/>
          <cell r="K161"/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/>
          <cell r="AD161"/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/>
          <cell r="I162"/>
          <cell r="J162"/>
          <cell r="K162"/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/>
          <cell r="AD162"/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/>
          <cell r="I163"/>
          <cell r="J163"/>
          <cell r="K163"/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/>
          <cell r="AD163"/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/>
          <cell r="I164"/>
          <cell r="J164"/>
          <cell r="K164"/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/>
          <cell r="AD164"/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/>
          <cell r="I165"/>
          <cell r="J165"/>
          <cell r="K165"/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/>
          <cell r="AD165"/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/>
          <cell r="I166"/>
          <cell r="J166"/>
          <cell r="K166"/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/>
          <cell r="AD166"/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/>
          <cell r="I167"/>
          <cell r="J167"/>
          <cell r="K167"/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/>
          <cell r="AD167"/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/>
          <cell r="I168"/>
          <cell r="J168"/>
          <cell r="K168"/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/>
          <cell r="AD168"/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/>
          <cell r="I169"/>
          <cell r="J169"/>
          <cell r="K169"/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/>
          <cell r="AD169"/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/>
          <cell r="I170"/>
          <cell r="J170"/>
          <cell r="K170"/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/>
          <cell r="AD170"/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/>
          <cell r="I171"/>
          <cell r="J171"/>
          <cell r="K171"/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/>
          <cell r="AD171"/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/>
          <cell r="I172"/>
          <cell r="J172"/>
          <cell r="K172"/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/>
          <cell r="AD172"/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/>
          <cell r="I173"/>
          <cell r="J173"/>
          <cell r="K173"/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/>
          <cell r="AD173"/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/>
          <cell r="I174"/>
          <cell r="J174"/>
          <cell r="K174"/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/>
          <cell r="AD174"/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/>
          <cell r="I175"/>
          <cell r="J175"/>
          <cell r="K175"/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/>
          <cell r="AD175"/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/>
          <cell r="I176"/>
          <cell r="J176"/>
          <cell r="K176"/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/>
          <cell r="AD176"/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/>
          <cell r="I177"/>
          <cell r="J177"/>
          <cell r="K177"/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/>
          <cell r="AD177"/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/>
          <cell r="I178"/>
          <cell r="J178"/>
          <cell r="K178"/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/>
          <cell r="AD178"/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/>
          <cell r="I179"/>
          <cell r="J179"/>
          <cell r="K179"/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/>
          <cell r="AD179"/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/>
          <cell r="I180"/>
          <cell r="J180"/>
          <cell r="K180"/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/>
          <cell r="AD180"/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/>
          <cell r="I181"/>
          <cell r="J181"/>
          <cell r="K181"/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/>
          <cell r="AD181"/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/>
          <cell r="I182"/>
          <cell r="J182"/>
          <cell r="K182"/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/>
          <cell r="AD182"/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/>
          <cell r="I183"/>
          <cell r="J183"/>
          <cell r="K183"/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/>
          <cell r="AD183"/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/>
          <cell r="I184"/>
          <cell r="J184"/>
          <cell r="K184"/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/>
          <cell r="AD184"/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/>
          <cell r="I185"/>
          <cell r="J185"/>
          <cell r="K185"/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/>
          <cell r="AD185"/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/>
          <cell r="I186"/>
          <cell r="J186"/>
          <cell r="K186"/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/>
          <cell r="AD186"/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/>
          <cell r="I187"/>
          <cell r="J187"/>
          <cell r="K187"/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/>
          <cell r="AD187"/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/>
          <cell r="I188"/>
          <cell r="J188"/>
          <cell r="K188"/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/>
          <cell r="AD188"/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/>
          <cell r="I189"/>
          <cell r="J189"/>
          <cell r="K189"/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/>
          <cell r="AD189"/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/>
          <cell r="I190"/>
          <cell r="J190"/>
          <cell r="K190"/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/>
          <cell r="AD190"/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/>
          <cell r="I191"/>
          <cell r="J191"/>
          <cell r="K191"/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/>
          <cell r="AD191"/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/>
          <cell r="I192"/>
          <cell r="J192"/>
          <cell r="K192"/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/>
          <cell r="AD192"/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/>
          <cell r="I193"/>
          <cell r="J193"/>
          <cell r="K193"/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/>
          <cell r="AD193"/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/>
          <cell r="I194"/>
          <cell r="J194"/>
          <cell r="K194"/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/>
          <cell r="AD194"/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/>
          <cell r="I195"/>
          <cell r="J195"/>
          <cell r="K195"/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/>
          <cell r="AD195"/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/>
          <cell r="I196"/>
          <cell r="J196"/>
          <cell r="K196"/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/>
          <cell r="AD196"/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/>
          <cell r="I197"/>
          <cell r="J197"/>
          <cell r="K197"/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/>
          <cell r="AD197"/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/>
          <cell r="I198"/>
          <cell r="J198"/>
          <cell r="K198"/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/>
          <cell r="AD198"/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/>
          <cell r="I199"/>
          <cell r="J199"/>
          <cell r="K199"/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/>
          <cell r="AD199"/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/>
          <cell r="I200"/>
          <cell r="J200"/>
          <cell r="K200"/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/>
          <cell r="AD200"/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/>
          <cell r="I201"/>
          <cell r="J201"/>
          <cell r="K201"/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/>
          <cell r="AD201"/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/>
          <cell r="I202"/>
          <cell r="J202"/>
          <cell r="K202"/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/>
          <cell r="AD202"/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/>
          <cell r="I203"/>
          <cell r="J203"/>
          <cell r="K203"/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/>
          <cell r="AD203"/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/>
          <cell r="I204"/>
          <cell r="J204"/>
          <cell r="K204"/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/>
          <cell r="AD204"/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/>
          <cell r="I205"/>
          <cell r="J205"/>
          <cell r="K205"/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/>
          <cell r="AD205"/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/>
          <cell r="I206"/>
          <cell r="J206"/>
          <cell r="K206"/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/>
          <cell r="AD206"/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/>
          <cell r="I207"/>
          <cell r="J207"/>
          <cell r="K207"/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/>
          <cell r="AD207"/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/>
          <cell r="I208"/>
          <cell r="J208"/>
          <cell r="K208"/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/>
          <cell r="AD208"/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/>
          <cell r="I209"/>
          <cell r="J209"/>
          <cell r="K209"/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/>
          <cell r="AD209"/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/>
          <cell r="I210"/>
          <cell r="J210"/>
          <cell r="K210"/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/>
          <cell r="AD210"/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/>
          <cell r="I211"/>
          <cell r="J211"/>
          <cell r="K211"/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/>
          <cell r="AD211"/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/>
          <cell r="I212"/>
          <cell r="J212"/>
          <cell r="K212"/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/>
          <cell r="AD212"/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/>
          <cell r="I213"/>
          <cell r="J213"/>
          <cell r="K213"/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/>
          <cell r="AD213"/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/>
          <cell r="I214"/>
          <cell r="J214"/>
          <cell r="K214"/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/>
          <cell r="AD214"/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/>
          <cell r="I215"/>
          <cell r="J215"/>
          <cell r="K215"/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/>
          <cell r="AD215"/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/>
          <cell r="I216"/>
          <cell r="J216"/>
          <cell r="K216"/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/>
          <cell r="AD216"/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/>
          <cell r="I217"/>
          <cell r="J217"/>
          <cell r="K217"/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/>
          <cell r="AD217"/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/>
          <cell r="I218"/>
          <cell r="J218"/>
          <cell r="K218"/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/>
          <cell r="AD218"/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/>
          <cell r="I219"/>
          <cell r="J219"/>
          <cell r="K219"/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/>
          <cell r="AD219"/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/>
          <cell r="I220"/>
          <cell r="J220"/>
          <cell r="K220"/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/>
          <cell r="AD220"/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/>
          <cell r="I221"/>
          <cell r="J221"/>
          <cell r="K221"/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/>
          <cell r="AD221"/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/>
          <cell r="I222"/>
          <cell r="J222"/>
          <cell r="K222"/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/>
          <cell r="AD222"/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/>
          <cell r="I223"/>
          <cell r="J223"/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/>
          <cell r="AD223"/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/>
          <cell r="I224"/>
          <cell r="J224"/>
          <cell r="K224"/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/>
          <cell r="AD224"/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/>
          <cell r="I225"/>
          <cell r="J225"/>
          <cell r="K225"/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/>
          <cell r="AD225"/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/>
          <cell r="I226"/>
          <cell r="J226"/>
          <cell r="K226"/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/>
          <cell r="AD226"/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/>
          <cell r="I227"/>
          <cell r="J227"/>
          <cell r="K227"/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/>
          <cell r="AD227"/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/>
          <cell r="I228"/>
          <cell r="J228"/>
          <cell r="K228"/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/>
          <cell r="AD228"/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/>
          <cell r="I229"/>
          <cell r="J229"/>
          <cell r="K229"/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/>
          <cell r="AD229"/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/>
          <cell r="I230"/>
          <cell r="J230"/>
          <cell r="K230"/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/>
          <cell r="AD230"/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/>
          <cell r="I231"/>
          <cell r="J231"/>
          <cell r="K231"/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/>
          <cell r="AD231"/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/>
          <cell r="I232"/>
          <cell r="J232"/>
          <cell r="K232"/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/>
          <cell r="AD232"/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/>
          <cell r="I233"/>
          <cell r="J233"/>
          <cell r="K233"/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/>
          <cell r="AD233"/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/>
          <cell r="I234"/>
          <cell r="J234"/>
          <cell r="K234"/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/>
          <cell r="AD234"/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/>
          <cell r="I235"/>
          <cell r="J235"/>
          <cell r="K235"/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/>
          <cell r="AD235"/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/>
          <cell r="I236"/>
          <cell r="J236"/>
          <cell r="K236"/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/>
          <cell r="AD236"/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/>
          <cell r="I237"/>
          <cell r="J237"/>
          <cell r="K237"/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/>
          <cell r="AD237"/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/>
          <cell r="I238"/>
          <cell r="J238"/>
          <cell r="K238"/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/>
          <cell r="AD238"/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/>
          <cell r="I239"/>
          <cell r="J239"/>
          <cell r="K239"/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/>
          <cell r="AD239"/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/>
          <cell r="I240"/>
          <cell r="J240"/>
          <cell r="K240"/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/>
          <cell r="AD240"/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/>
          <cell r="I241"/>
          <cell r="J241"/>
          <cell r="K241"/>
          <cell r="L241">
            <v>0</v>
          </cell>
          <cell r="M241"/>
          <cell r="N241"/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/>
          <cell r="AD241"/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/>
          <cell r="I242"/>
          <cell r="J242"/>
          <cell r="K242"/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/>
          <cell r="AD242"/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/>
          <cell r="I243"/>
          <cell r="J243"/>
          <cell r="K243"/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/>
          <cell r="AD243"/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/>
          <cell r="I244"/>
          <cell r="J244"/>
          <cell r="K244"/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/>
          <cell r="AD244"/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/>
          <cell r="I245"/>
          <cell r="J245"/>
          <cell r="K245"/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/>
          <cell r="AD245"/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/>
          <cell r="I246"/>
          <cell r="J246"/>
          <cell r="K246"/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/>
          <cell r="AD246"/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/>
          <cell r="I247"/>
          <cell r="J247"/>
          <cell r="K247"/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/>
          <cell r="AD247"/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/>
          <cell r="I248"/>
          <cell r="J248"/>
          <cell r="K248"/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/>
          <cell r="AD248"/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/>
          <cell r="I249"/>
          <cell r="J249"/>
          <cell r="K249"/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/>
          <cell r="AD249"/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/>
          <cell r="I250"/>
          <cell r="J250"/>
          <cell r="K250"/>
          <cell r="L250">
            <v>0</v>
          </cell>
          <cell r="M250">
            <v>763.68707974869699</v>
          </cell>
          <cell r="N250"/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/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/>
          <cell r="I251"/>
          <cell r="J251"/>
          <cell r="K251"/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/>
          <cell r="AD251"/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/>
          <cell r="I252"/>
          <cell r="J252"/>
          <cell r="K252"/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/>
          <cell r="AD252"/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/>
          <cell r="I253"/>
          <cell r="J253"/>
          <cell r="K253"/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/>
          <cell r="AD253"/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/>
          <cell r="I254"/>
          <cell r="J254"/>
          <cell r="K254"/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/>
          <cell r="AD254"/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/>
          <cell r="I255"/>
          <cell r="J255"/>
          <cell r="K255"/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/>
          <cell r="AD255"/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/>
          <cell r="I256"/>
          <cell r="J256"/>
          <cell r="K256"/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/>
          <cell r="AD256"/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/>
          <cell r="I257"/>
          <cell r="J257"/>
          <cell r="K257"/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/>
          <cell r="AD257"/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/>
          <cell r="I258"/>
          <cell r="J258"/>
          <cell r="K258"/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/>
          <cell r="AD258"/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/>
          <cell r="I259"/>
          <cell r="J259"/>
          <cell r="K259"/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/>
          <cell r="AD259"/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/>
          <cell r="I260"/>
          <cell r="J260"/>
          <cell r="K260"/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/>
          <cell r="AD260"/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/>
          <cell r="F261"/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Regulated"/>
      <sheetName val="Non-Regulated"/>
      <sheetName val="Disposal"/>
    </sheetNames>
    <sheetDataSet>
      <sheetData sheetId="0" refreshError="1"/>
      <sheetData sheetId="1" refreshError="1">
        <row r="1">
          <cell r="A1" t="str">
            <v>Waste Connections of WA, Inc.</v>
          </cell>
        </row>
        <row r="2">
          <cell r="A2" t="str">
            <v>Clark County - Regulated</v>
          </cell>
        </row>
        <row r="3">
          <cell r="A3" t="str">
            <v>April 1, 2021 - March 31, 2022</v>
          </cell>
        </row>
        <row r="8">
          <cell r="D8" t="str">
            <v>Annual Customer Count</v>
          </cell>
        </row>
        <row r="9">
          <cell r="A9" t="str">
            <v>RESIDENTIAL SERVICES</v>
          </cell>
        </row>
        <row r="11">
          <cell r="A11" t="str">
            <v>Residential Garbage</v>
          </cell>
        </row>
        <row r="12">
          <cell r="A12" t="str">
            <v>CRMCEOW</v>
          </cell>
          <cell r="D12">
            <v>1762.9493750000001</v>
          </cell>
        </row>
        <row r="13">
          <cell r="A13" t="str">
            <v>CRMC</v>
          </cell>
          <cell r="D13">
            <v>6808.343632958803</v>
          </cell>
        </row>
        <row r="14">
          <cell r="A14" t="str">
            <v>CREOW</v>
          </cell>
          <cell r="D14">
            <v>97124.550320857292</v>
          </cell>
        </row>
        <row r="15">
          <cell r="A15" t="str">
            <v>CR32MO</v>
          </cell>
          <cell r="D15">
            <v>14781.400801603206</v>
          </cell>
        </row>
        <row r="16">
          <cell r="A16" t="str">
            <v>CR32W1</v>
          </cell>
          <cell r="D16">
            <v>580808.38230994134</v>
          </cell>
        </row>
        <row r="17">
          <cell r="A17" t="str">
            <v>RR32W1</v>
          </cell>
          <cell r="D17">
            <v>1.172514619883041</v>
          </cell>
        </row>
        <row r="18">
          <cell r="A18" t="str">
            <v>CR32W2</v>
          </cell>
          <cell r="D18">
            <v>166072.11941796288</v>
          </cell>
        </row>
        <row r="19">
          <cell r="A19" t="str">
            <v>CR32W3</v>
          </cell>
          <cell r="D19">
            <v>15836.878131347328</v>
          </cell>
        </row>
        <row r="20">
          <cell r="A20" t="str">
            <v>CR32W4</v>
          </cell>
          <cell r="D20">
            <v>2915.4092022869595</v>
          </cell>
        </row>
        <row r="21">
          <cell r="A21" t="str">
            <v>CR32W5</v>
          </cell>
          <cell r="D21">
            <v>582.90851528384269</v>
          </cell>
        </row>
        <row r="22">
          <cell r="A22" t="str">
            <v>CR32W6</v>
          </cell>
          <cell r="D22">
            <v>259.59414225941418</v>
          </cell>
        </row>
        <row r="23">
          <cell r="A23" t="str">
            <v>CR32W7</v>
          </cell>
          <cell r="D23">
            <v>8.4202511773940341</v>
          </cell>
        </row>
        <row r="24">
          <cell r="A24" t="str">
            <v>CR32W8</v>
          </cell>
          <cell r="D24">
            <v>12.193797341717882</v>
          </cell>
        </row>
        <row r="25">
          <cell r="A25" t="str">
            <v>CR32W9</v>
          </cell>
          <cell r="D25">
            <v>12.953128804480155</v>
          </cell>
        </row>
        <row r="26">
          <cell r="A26" t="str">
            <v>RREXC</v>
          </cell>
          <cell r="D26">
            <v>252306.79365079367</v>
          </cell>
        </row>
        <row r="27">
          <cell r="A27" t="str">
            <v>RRCALL</v>
          </cell>
          <cell r="D27">
            <v>3478.9561752988047</v>
          </cell>
        </row>
        <row r="28">
          <cell r="A28" t="str">
            <v>CRCALL</v>
          </cell>
          <cell r="D28">
            <v>37.077689243027891</v>
          </cell>
        </row>
        <row r="29">
          <cell r="A29" t="str">
            <v>ROFOW</v>
          </cell>
          <cell r="D29">
            <v>44607.160164271052</v>
          </cell>
        </row>
        <row r="30">
          <cell r="A30" t="str">
            <v>COFOW</v>
          </cell>
          <cell r="D30">
            <v>184.73511293634499</v>
          </cell>
        </row>
        <row r="31">
          <cell r="A31" t="str">
            <v>WBMISC</v>
          </cell>
          <cell r="D31">
            <v>4120.2730496453896</v>
          </cell>
        </row>
        <row r="33">
          <cell r="D33">
            <v>1191722.2713836327</v>
          </cell>
        </row>
        <row r="34">
          <cell r="D34">
            <v>0</v>
          </cell>
        </row>
        <row r="35">
          <cell r="A35" t="str">
            <v xml:space="preserve">COMMERCIAL SERVICES </v>
          </cell>
        </row>
        <row r="37">
          <cell r="A37" t="str">
            <v>Commercial Garbage</v>
          </cell>
        </row>
        <row r="38">
          <cell r="A38" t="str">
            <v>CC1Y1W</v>
          </cell>
          <cell r="D38">
            <v>4869.294502571006</v>
          </cell>
        </row>
        <row r="39">
          <cell r="A39" t="str">
            <v>CC1Y2W</v>
          </cell>
          <cell r="D39">
            <v>127.57787906710337</v>
          </cell>
        </row>
        <row r="40">
          <cell r="A40" t="str">
            <v>CC1YEOW</v>
          </cell>
          <cell r="D40">
            <v>8786.4593676430995</v>
          </cell>
        </row>
        <row r="41">
          <cell r="A41" t="str">
            <v>CC15Y1W</v>
          </cell>
          <cell r="D41">
            <v>1590.0403948223945</v>
          </cell>
        </row>
        <row r="42">
          <cell r="A42" t="str">
            <v>CC15Y2W</v>
          </cell>
          <cell r="D42">
            <v>24.096590360282043</v>
          </cell>
        </row>
        <row r="43">
          <cell r="A43" t="str">
            <v>CC15YEOW</v>
          </cell>
          <cell r="D43">
            <v>2415.9820702473889</v>
          </cell>
        </row>
        <row r="44">
          <cell r="A44" t="str">
            <v>CC2Y1W</v>
          </cell>
          <cell r="D44">
            <v>6124.9531973661769</v>
          </cell>
        </row>
        <row r="45">
          <cell r="A45" t="str">
            <v>CC2Y2W</v>
          </cell>
          <cell r="D45">
            <v>548.92209537758583</v>
          </cell>
        </row>
        <row r="46">
          <cell r="A46" t="str">
            <v>CC2Y3W</v>
          </cell>
          <cell r="D46">
            <v>71.79250041230874</v>
          </cell>
        </row>
        <row r="47">
          <cell r="A47" t="str">
            <v>CC2Y4W</v>
          </cell>
          <cell r="D47">
            <v>12.052469510959847</v>
          </cell>
        </row>
        <row r="48">
          <cell r="A48" t="str">
            <v>CC2Y5W</v>
          </cell>
          <cell r="D48">
            <v>12.052428569113333</v>
          </cell>
        </row>
        <row r="49">
          <cell r="A49" t="str">
            <v>CC2YEOW</v>
          </cell>
          <cell r="D49">
            <v>4816.224879453267</v>
          </cell>
        </row>
        <row r="50">
          <cell r="A50" t="str">
            <v>CC3Y1W</v>
          </cell>
          <cell r="D50">
            <v>2275.4968206974927</v>
          </cell>
        </row>
        <row r="51">
          <cell r="A51" t="str">
            <v>CC3Y2W</v>
          </cell>
          <cell r="D51">
            <v>665.85965212963697</v>
          </cell>
        </row>
        <row r="52">
          <cell r="A52" t="str">
            <v>VC3Y2W</v>
          </cell>
          <cell r="D52">
            <v>6.9677091565992999</v>
          </cell>
        </row>
        <row r="53">
          <cell r="A53" t="str">
            <v>CC3Y3W</v>
          </cell>
          <cell r="D53">
            <v>159.44137033857069</v>
          </cell>
        </row>
        <row r="54">
          <cell r="A54" t="str">
            <v>CC3Y4W</v>
          </cell>
          <cell r="D54">
            <v>15.086503432560706</v>
          </cell>
        </row>
        <row r="55">
          <cell r="A55" t="str">
            <v>CC3Y5W</v>
          </cell>
          <cell r="D55">
            <v>17.108099948910869</v>
          </cell>
        </row>
        <row r="56">
          <cell r="A56" t="str">
            <v>CC3Y6W</v>
          </cell>
          <cell r="D56">
            <v>12.054089097031389</v>
          </cell>
        </row>
        <row r="57">
          <cell r="A57" t="str">
            <v>CC3YEOW</v>
          </cell>
          <cell r="D57">
            <v>417.26720436005792</v>
          </cell>
        </row>
        <row r="58">
          <cell r="A58" t="str">
            <v>CC4Y1W</v>
          </cell>
          <cell r="D58">
            <v>2411.9176613535287</v>
          </cell>
        </row>
        <row r="59">
          <cell r="A59" t="str">
            <v>VC4Y1W</v>
          </cell>
          <cell r="D59">
            <v>-0.64415786787450013</v>
          </cell>
        </row>
        <row r="60">
          <cell r="A60" t="str">
            <v>CC4Y2W</v>
          </cell>
          <cell r="D60">
            <v>1397.5075524733015</v>
          </cell>
        </row>
        <row r="61">
          <cell r="A61" t="str">
            <v>CC4Y3W</v>
          </cell>
          <cell r="D61">
            <v>417.40331004197725</v>
          </cell>
        </row>
        <row r="62">
          <cell r="A62" t="str">
            <v>CC4Y4W</v>
          </cell>
          <cell r="D62">
            <v>51.755391810504364</v>
          </cell>
        </row>
        <row r="63">
          <cell r="A63" t="str">
            <v>CC4Y5W</v>
          </cell>
          <cell r="D63">
            <v>36.162982037432485</v>
          </cell>
        </row>
        <row r="64">
          <cell r="A64" t="str">
            <v>CC4Y6W</v>
          </cell>
          <cell r="D64">
            <v>11.907546553413916</v>
          </cell>
        </row>
        <row r="65">
          <cell r="A65" t="str">
            <v>CC4YEOW</v>
          </cell>
          <cell r="D65">
            <v>282.35349279695572</v>
          </cell>
        </row>
        <row r="66">
          <cell r="A66" t="str">
            <v>CC5Y1W</v>
          </cell>
          <cell r="D66">
            <v>39.413979375182862</v>
          </cell>
        </row>
        <row r="67">
          <cell r="A67" t="str">
            <v>CC5YEOW</v>
          </cell>
          <cell r="D67">
            <v>8.5521669341894064</v>
          </cell>
        </row>
        <row r="68">
          <cell r="A68" t="str">
            <v>CC6Y1W</v>
          </cell>
          <cell r="D68">
            <v>951.78801034946207</v>
          </cell>
        </row>
        <row r="69">
          <cell r="A69" t="str">
            <v>CC6Y2W</v>
          </cell>
          <cell r="D69">
            <v>322.93714906983297</v>
          </cell>
        </row>
        <row r="70">
          <cell r="A70" t="str">
            <v>CC6Y3W</v>
          </cell>
          <cell r="D70">
            <v>115.04265994902971</v>
          </cell>
        </row>
        <row r="71">
          <cell r="A71" t="str">
            <v>CC6Y4W</v>
          </cell>
          <cell r="D71">
            <v>12.051610111873417</v>
          </cell>
        </row>
        <row r="72">
          <cell r="A72" t="str">
            <v>CC6Y5W</v>
          </cell>
          <cell r="D72">
            <v>0</v>
          </cell>
        </row>
        <row r="73">
          <cell r="A73" t="str">
            <v>CC6YEOW</v>
          </cell>
          <cell r="D73">
            <v>197.35471139615197</v>
          </cell>
        </row>
        <row r="74">
          <cell r="A74" t="str">
            <v>CC8Y1W</v>
          </cell>
          <cell r="D74">
            <v>641.73823815988169</v>
          </cell>
        </row>
        <row r="75">
          <cell r="A75" t="str">
            <v>CC8Y2W</v>
          </cell>
          <cell r="D75">
            <v>216.37182828811407</v>
          </cell>
        </row>
        <row r="76">
          <cell r="A76" t="str">
            <v>CC8Y3W</v>
          </cell>
          <cell r="D76">
            <v>104.52727868775835</v>
          </cell>
        </row>
        <row r="77">
          <cell r="A77" t="str">
            <v>CC8Y4W</v>
          </cell>
          <cell r="D77">
            <v>12.047753823562502</v>
          </cell>
        </row>
        <row r="78">
          <cell r="A78" t="str">
            <v>CC8Y6W</v>
          </cell>
          <cell r="D78">
            <v>12.047743860798718</v>
          </cell>
        </row>
        <row r="79">
          <cell r="A79" t="str">
            <v>CC8YEOW</v>
          </cell>
          <cell r="D79">
            <v>25.609215500945179</v>
          </cell>
        </row>
        <row r="80">
          <cell r="A80" t="str">
            <v>CCCMP2Y</v>
          </cell>
          <cell r="D80">
            <v>26.098631866799312</v>
          </cell>
        </row>
        <row r="81">
          <cell r="A81" t="str">
            <v>CCCMP3Y</v>
          </cell>
          <cell r="D81">
            <v>0</v>
          </cell>
        </row>
        <row r="82">
          <cell r="A82" t="str">
            <v>CCCMP4Y</v>
          </cell>
          <cell r="D82">
            <v>72.54510433386838</v>
          </cell>
        </row>
        <row r="83">
          <cell r="A83" t="str">
            <v>CCSP1Y</v>
          </cell>
          <cell r="D83">
            <v>579.03171661409044</v>
          </cell>
        </row>
        <row r="84">
          <cell r="A84" t="str">
            <v>CCSP15Y</v>
          </cell>
          <cell r="D84">
            <v>160.02084372868759</v>
          </cell>
        </row>
        <row r="85">
          <cell r="A85" t="str">
            <v>CCSP2Y</v>
          </cell>
          <cell r="D85">
            <v>351.06966405248539</v>
          </cell>
        </row>
        <row r="86">
          <cell r="A86" t="str">
            <v>CCSP3Y</v>
          </cell>
          <cell r="D86">
            <v>41.994452484322238</v>
          </cell>
        </row>
        <row r="87">
          <cell r="A87" t="str">
            <v>VCSP2YC</v>
          </cell>
          <cell r="D87">
            <v>0</v>
          </cell>
        </row>
        <row r="88">
          <cell r="A88" t="str">
            <v>VCSP4YC</v>
          </cell>
          <cell r="D88">
            <v>32.338849311521592</v>
          </cell>
        </row>
        <row r="89">
          <cell r="A89" t="str">
            <v>CCSP4Y</v>
          </cell>
          <cell r="D89">
            <v>41</v>
          </cell>
        </row>
        <row r="90">
          <cell r="A90" t="str">
            <v>CCSP5Y</v>
          </cell>
          <cell r="D90">
            <v>0</v>
          </cell>
        </row>
        <row r="91">
          <cell r="A91" t="str">
            <v>CCSP6Y</v>
          </cell>
          <cell r="D91">
            <v>11.438259506076049</v>
          </cell>
        </row>
        <row r="92">
          <cell r="A92" t="str">
            <v>CCSP8Y</v>
          </cell>
          <cell r="D92">
            <v>19.538654870815321</v>
          </cell>
        </row>
        <row r="93">
          <cell r="A93" t="str">
            <v>CCTP1Y</v>
          </cell>
          <cell r="D93">
            <v>274.01666666666665</v>
          </cell>
        </row>
        <row r="94">
          <cell r="A94" t="str">
            <v>CCTP15Y</v>
          </cell>
          <cell r="D94">
            <v>146.99464359291306</v>
          </cell>
        </row>
        <row r="95">
          <cell r="A95" t="str">
            <v>CCTP2Y</v>
          </cell>
          <cell r="D95">
            <v>1492.7100428795857</v>
          </cell>
        </row>
        <row r="96">
          <cell r="A96" t="str">
            <v>CCTP3Y</v>
          </cell>
          <cell r="D96">
            <v>27</v>
          </cell>
        </row>
        <row r="97">
          <cell r="A97" t="str">
            <v>CCTP4Y</v>
          </cell>
          <cell r="D97">
            <v>2</v>
          </cell>
        </row>
        <row r="98">
          <cell r="A98" t="str">
            <v>CCTP5Y</v>
          </cell>
          <cell r="D98">
            <v>0</v>
          </cell>
        </row>
        <row r="99">
          <cell r="A99" t="str">
            <v>CCTP6Y</v>
          </cell>
          <cell r="D99">
            <v>0</v>
          </cell>
        </row>
        <row r="100">
          <cell r="A100" t="str">
            <v>CCTP8Y</v>
          </cell>
          <cell r="D100">
            <v>0</v>
          </cell>
        </row>
        <row r="101">
          <cell r="A101" t="str">
            <v>CC32W1</v>
          </cell>
          <cell r="D101">
            <v>10330.932810601036</v>
          </cell>
        </row>
        <row r="102">
          <cell r="A102" t="str">
            <v>CC32W2</v>
          </cell>
          <cell r="D102">
            <v>753.48909026168405</v>
          </cell>
        </row>
        <row r="103">
          <cell r="A103" t="str">
            <v>CC32W3</v>
          </cell>
          <cell r="D103">
            <v>227.62812024912955</v>
          </cell>
        </row>
        <row r="104">
          <cell r="A104" t="str">
            <v>CC32W4</v>
          </cell>
          <cell r="D104">
            <v>88.083285061466171</v>
          </cell>
        </row>
        <row r="105">
          <cell r="A105" t="str">
            <v>CC32W5</v>
          </cell>
          <cell r="D105">
            <v>24.095238095238095</v>
          </cell>
        </row>
        <row r="106">
          <cell r="A106" t="str">
            <v>CC32W6</v>
          </cell>
          <cell r="D106">
            <v>24.095238095238095</v>
          </cell>
        </row>
        <row r="107">
          <cell r="A107" t="str">
            <v>CC32W7</v>
          </cell>
          <cell r="D107">
            <v>12.047619047619047</v>
          </cell>
        </row>
        <row r="108">
          <cell r="A108" t="str">
            <v>CC32W8</v>
          </cell>
          <cell r="D108">
            <v>12.047619047619047</v>
          </cell>
        </row>
        <row r="109">
          <cell r="A109" t="str">
            <v>CC32W9</v>
          </cell>
          <cell r="D109">
            <v>12.047619047619047</v>
          </cell>
        </row>
        <row r="110">
          <cell r="A110" t="str">
            <v>RC32EOW</v>
          </cell>
          <cell r="D110">
            <v>992.82377361617523</v>
          </cell>
        </row>
        <row r="111">
          <cell r="A111" t="str">
            <v>CCEXCAN</v>
          </cell>
          <cell r="D111">
            <v>3067.7791040061284</v>
          </cell>
        </row>
        <row r="112">
          <cell r="A112" t="str">
            <v>CCEXYD</v>
          </cell>
          <cell r="D112">
            <v>3265.5486406652089</v>
          </cell>
        </row>
        <row r="113">
          <cell r="A113" t="str">
            <v>RCOF</v>
          </cell>
          <cell r="D113">
            <v>1.8257487563918229</v>
          </cell>
        </row>
        <row r="115">
          <cell r="D115">
            <v>62326.817385725961</v>
          </cell>
        </row>
        <row r="116">
          <cell r="D116">
            <v>0.36501079913432477</v>
          </cell>
        </row>
        <row r="117">
          <cell r="D117">
            <v>1254049.0887693586</v>
          </cell>
        </row>
        <row r="120">
          <cell r="D120" t="str">
            <v>Cal lbs</v>
          </cell>
        </row>
        <row r="121">
          <cell r="D121" t="str">
            <v>Regulated</v>
          </cell>
        </row>
        <row r="122">
          <cell r="D122">
            <v>147856229.259354</v>
          </cell>
        </row>
        <row r="123">
          <cell r="D123">
            <v>70634013.301997021</v>
          </cell>
        </row>
        <row r="124">
          <cell r="D124">
            <v>218490242.561351</v>
          </cell>
        </row>
        <row r="127">
          <cell r="D127" t="str">
            <v>Non-Regulated</v>
          </cell>
        </row>
        <row r="128">
          <cell r="D128">
            <v>107029282.69270581</v>
          </cell>
        </row>
        <row r="129">
          <cell r="D129">
            <v>110055695.9614711</v>
          </cell>
        </row>
        <row r="130">
          <cell r="D130">
            <v>217084978.65417689</v>
          </cell>
        </row>
        <row r="132">
          <cell r="D132">
            <v>435575221.21552789</v>
          </cell>
        </row>
        <row r="134">
          <cell r="D134">
            <v>0.50161311277447396</v>
          </cell>
        </row>
        <row r="135">
          <cell r="D135">
            <v>0.49838688722552604</v>
          </cell>
        </row>
        <row r="136">
          <cell r="D136">
            <v>1</v>
          </cell>
        </row>
      </sheetData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Query"/>
      <sheetName val="JE Lookup"/>
      <sheetName val="Split"/>
      <sheetName val="Waste Works Breakdown"/>
      <sheetName val="Material Codes"/>
      <sheetName val="WW Rpt APR21 to MAR22 Master"/>
      <sheetName val="WW APR21-MAR22 RO "/>
      <sheetName val="WW APR21-MAR22 Org, FW, Other"/>
      <sheetName val="WW APR21-MAR22 Res &amp; Com"/>
    </sheetNames>
    <sheetDataSet>
      <sheetData sheetId="0"/>
      <sheetData sheetId="1"/>
      <sheetData sheetId="2"/>
      <sheetData sheetId="3">
        <row r="4">
          <cell r="D4">
            <v>92024.240000000034</v>
          </cell>
          <cell r="E4">
            <v>8234515.3400000026</v>
          </cell>
        </row>
        <row r="5">
          <cell r="D5">
            <v>0</v>
          </cell>
          <cell r="E5">
            <v>7.1054273576010019E-15</v>
          </cell>
        </row>
        <row r="6">
          <cell r="D6">
            <v>1957.53</v>
          </cell>
          <cell r="E6">
            <v>70422.400000000009</v>
          </cell>
        </row>
        <row r="9">
          <cell r="D9">
            <v>93981.770000000019</v>
          </cell>
          <cell r="E9">
            <v>8304937.7400000049</v>
          </cell>
        </row>
        <row r="13">
          <cell r="D13">
            <v>165572.63</v>
          </cell>
          <cell r="E13">
            <v>16362444.449999999</v>
          </cell>
        </row>
        <row r="14">
          <cell r="D14">
            <v>1132.8400000000001</v>
          </cell>
          <cell r="E14">
            <v>96854.049999999988</v>
          </cell>
        </row>
        <row r="15">
          <cell r="D15">
            <v>12461.58</v>
          </cell>
          <cell r="E15">
            <v>1055328.44</v>
          </cell>
        </row>
        <row r="16">
          <cell r="D16">
            <v>2207.77</v>
          </cell>
          <cell r="E16">
            <v>76117.049999999988</v>
          </cell>
        </row>
        <row r="19">
          <cell r="D19">
            <v>181374.82</v>
          </cell>
          <cell r="E19">
            <v>17590743.989999998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Regulated"/>
      <sheetName val="Non-Regulated"/>
    </sheetNames>
    <sheetDataSet>
      <sheetData sheetId="0"/>
      <sheetData sheetId="1">
        <row r="134">
          <cell r="D134">
            <v>0.50161311277447396</v>
          </cell>
        </row>
        <row r="135">
          <cell r="D135">
            <v>0.49838688722552604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harbono, Benjamin (UTC)" id="{4FDDD635-EE33-4885-ADD6-240B08358035}" userId="Sharbono, Benjamin (UTC)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4" dT="2022-12-03T23:21:32.82" personId="{4FDDD635-EE33-4885-ADD6-240B08358035}" id="{D857E9A4-FEB5-411F-9C1C-1EC4943F4EE1}">
    <text>Was 0.004275. Current rate charged for WUTC fees is 0.005100.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0" dT="2022-12-02T23:13:18.09" personId="{4FDDD635-EE33-4885-ADD6-240B08358035}" id="{8D26E76B-1FD2-4797-8F5F-F466E04E7416}">
    <text>Original filing used the Annual Pickups from the general rate case TG-220339. Revised to Customer count from TG-220339.</text>
  </threadedComment>
  <threadedComment ref="E11" dT="2022-12-02T23:20:22.17" personId="{4FDDD635-EE33-4885-ADD6-240B08358035}" id="{16A28872-6AB5-4FCB-94E2-F5DB1CCAC9E6}">
    <text>Original filing used the Annual Pickups from the general rate case TG-220339. Revised to Customer count from TG-220339.</text>
  </threadedComment>
  <threadedComment ref="E12" dT="2022-12-02T23:20:26.69" personId="{4FDDD635-EE33-4885-ADD6-240B08358035}" id="{40F17BD3-D461-4789-9A70-B5A9B22C220D}">
    <text>Original filing used the Annual Pickups from the general rate case TG-220339. Revised to Customer count from TG-220339.</text>
  </threadedComment>
  <threadedComment ref="E13" dT="2022-12-02T23:20:32.55" personId="{4FDDD635-EE33-4885-ADD6-240B08358035}" id="{B069D787-5942-4848-96DE-0D2E16C792B6}">
    <text>Original filing used the Annual Pickups from the general rate case TG-220339. Revised to Customer count from TG-220339.</text>
  </threadedComment>
  <threadedComment ref="E14" dT="2022-12-02T23:20:43.33" personId="{4FDDD635-EE33-4885-ADD6-240B08358035}" id="{B5AD7530-E757-4D3A-9488-D5036E48DD1E}">
    <text>Original filing used the Annual Pickups from the general rate case TG-220339. Revised to Customer count from TG-220339.</text>
  </threadedComment>
  <threadedComment ref="E15" dT="2022-12-02T23:20:57.04" personId="{4FDDD635-EE33-4885-ADD6-240B08358035}" id="{11AB4AD8-57FB-4C80-9728-48E8103210BB}">
    <text>Original filing used the Annual Pickups from the general rate case TG-220339. Revised to Customer count from TG-220339.</text>
  </threadedComment>
  <threadedComment ref="E16" dT="2022-12-02T23:21:03.43" personId="{4FDDD635-EE33-4885-ADD6-240B08358035}" id="{56CFCECD-7FDE-4CBD-92EA-75AE1D9DEDD0}">
    <text>Original filing used the Annual Pickups from the general rate case TG-220339. Revised to Customer count from TG-220339.</text>
  </threadedComment>
  <threadedComment ref="E17" dT="2022-12-02T23:21:08.33" personId="{4FDDD635-EE33-4885-ADD6-240B08358035}" id="{6E5BBD81-9AD1-46CF-AF49-757FF5E0A15F}">
    <text>Original filing used the Annual Pickups from the general rate case TG-220339. Revised to Customer count from TG-220339.</text>
  </threadedComment>
  <threadedComment ref="E18" dT="2022-12-02T23:21:13.60" personId="{4FDDD635-EE33-4885-ADD6-240B08358035}" id="{B6C4AE13-2D21-4816-A7DB-83E74AA09105}">
    <text>Original filing used the Annual Pickups from the general rate case TG-220339. Revised to Customer count from TG-220339.</text>
  </threadedComment>
  <threadedComment ref="E19" dT="2022-12-02T23:21:18.04" personId="{4FDDD635-EE33-4885-ADD6-240B08358035}" id="{D85D0255-8911-4D6E-8E1A-C99518FD33DB}">
    <text>Original filing used the Annual Pickups from the general rate case TG-220339. Revised to Customer count from TG-220339.</text>
  </threadedComment>
  <threadedComment ref="E20" dT="2022-12-02T23:21:25.81" personId="{4FDDD635-EE33-4885-ADD6-240B08358035}" id="{3F338211-B328-4C02-940E-8DF13A159C45}">
    <text>Original filing used the Annual Pickups from the general rate case TG-220339. Revised to Customer count from TG-220339.</text>
  </threadedComment>
  <threadedComment ref="E21" dT="2022-12-02T23:21:32.03" personId="{4FDDD635-EE33-4885-ADD6-240B08358035}" id="{2F9406A2-3CD3-42B5-8AA9-77C8A31F2071}">
    <text>Original filing used the Annual Pickups from the general rate case TG-220339. Revised to Customer count from TG-220339.</text>
  </threadedComment>
  <threadedComment ref="E22" dT="2022-12-02T23:21:39.71" personId="{4FDDD635-EE33-4885-ADD6-240B08358035}" id="{D16FD654-877D-4426-9D2A-AA851BCF295F}">
    <text>Original filing used the Annual Pickups from the general rate case TG-220339. Revised to Customer count from TG-220339.</text>
  </threadedComment>
  <threadedComment ref="E23" dT="2022-12-02T23:21:46.00" personId="{4FDDD635-EE33-4885-ADD6-240B08358035}" id="{A042DB09-F4E4-4554-BA11-6F9BD59FB66E}">
    <text>Original filing used the Annual Pickups from the general rate case TG-220339. Revised to Customer count from TG-220339.</text>
  </threadedComment>
  <threadedComment ref="E24" dT="2022-12-02T23:21:51.28" personId="{4FDDD635-EE33-4885-ADD6-240B08358035}" id="{C4C1D14F-D15F-4C04-96F8-95533C8139A7}">
    <text>Original filing used the Annual Pickups from the general rate case TG-220339. Revised to Customer count from TG-220339.</text>
  </threadedComment>
  <threadedComment ref="E25" dT="2022-12-02T23:21:56.85" personId="{4FDDD635-EE33-4885-ADD6-240B08358035}" id="{E04595A6-0534-48A8-A0E6-300B738548FB}">
    <text>Original filing used the Annual Pickups from the general rate case TG-220339. Revised to Customer count from TG-220339.</text>
  </threadedComment>
  <threadedComment ref="E26" dT="2022-12-02T23:22:02.73" personId="{4FDDD635-EE33-4885-ADD6-240B08358035}" id="{EB99149B-FF3B-4537-AF16-676597DDE0C2}">
    <text>Original filing used the Annual Pickups from the general rate case TG-220339. Revised to Customer count from TG-220339.</text>
  </threadedComment>
  <threadedComment ref="E27" dT="2022-12-02T23:22:10.53" personId="{4FDDD635-EE33-4885-ADD6-240B08358035}" id="{F3B6E630-3795-4104-A742-609995138D1A}">
    <text>Original filing used the Annual Pickups from the general rate case TG-220339. Revised to Customer count from TG-220339.</text>
  </threadedComment>
  <threadedComment ref="E28" dT="2022-12-02T23:22:22.66" personId="{4FDDD635-EE33-4885-ADD6-240B08358035}" id="{48BBAF73-6023-422B-AD17-7BBF627C4ACA}">
    <text>Original filing used the Annual Pickups from the general rate case TG-220339. Revised to Customer count from TG-220339.</text>
  </threadedComment>
  <threadedComment ref="E29" dT="2022-12-02T23:22:27.98" personId="{4FDDD635-EE33-4885-ADD6-240B08358035}" id="{557D4684-9C54-4385-A856-ACE9AE8B2E7A}">
    <text>Original filing used the Annual Pickups from the general rate case TG-220339. Revised to Customer count from TG-220339.</text>
  </threadedComment>
  <threadedComment ref="E37" dT="2022-12-02T23:22:27.98" personId="{4FDDD635-EE33-4885-ADD6-240B08358035}" id="{F5254447-63AA-43C9-879F-8B028020F0AB}">
    <text>Original filing used the Annual Pickups from the general rate case TG-220339. Revised to Customer count from TG-220339.</text>
  </threadedComment>
  <threadedComment ref="E38" dT="2022-12-03T22:58:07.38" personId="{4FDDD635-EE33-4885-ADD6-240B08358035}" id="{24350187-239E-4399-9D69-D54BC4881574}">
    <text>Original filing used the Annual Pickups from the general rate case TG-220339. Revised to Customer count from TG-220339.</text>
  </threadedComment>
  <threadedComment ref="E39" dT="2022-12-03T22:58:14.84" personId="{4FDDD635-EE33-4885-ADD6-240B08358035}" id="{1077BA47-9241-4662-8B44-7970782C944F}">
    <text>Original filing used the Annual Pickups from the general rate case TG-220339. Revised to Customer count from TG-220339.</text>
  </threadedComment>
  <threadedComment ref="E40" dT="2022-12-03T22:58:20.76" personId="{4FDDD635-EE33-4885-ADD6-240B08358035}" id="{8C40457A-2BC1-40E4-A1C5-63E8FE556BA7}">
    <text>Original filing used the Annual Pickups from the general rate case TG-220339. Revised to Customer count from TG-220339.</text>
  </threadedComment>
  <threadedComment ref="E41" dT="2022-12-03T22:58:26.23" personId="{4FDDD635-EE33-4885-ADD6-240B08358035}" id="{94281E7E-C835-436A-91F9-5359B99DBE15}">
    <text>Original filing used the Annual Pickups from the general rate case TG-220339. Revised to Customer count from TG-220339.</text>
  </threadedComment>
  <threadedComment ref="E42" dT="2022-12-03T22:58:30.14" personId="{4FDDD635-EE33-4885-ADD6-240B08358035}" id="{AABA27AD-F4B6-42BE-A7A4-8D8CDDAF8300}">
    <text>Original filing used the Annual Pickups from the general rate case TG-220339. Revised to Customer count from TG-220339.</text>
  </threadedComment>
  <threadedComment ref="E43" dT="2022-12-03T22:58:34.10" personId="{4FDDD635-EE33-4885-ADD6-240B08358035}" id="{65A0BF4A-B7BC-4FEA-A838-CC13BD54EA15}">
    <text>Original filing used the Annual Pickups from the general rate case TG-220339. Revised to Customer count from TG-220339.</text>
  </threadedComment>
  <threadedComment ref="E44" dT="2022-12-03T22:58:38.31" personId="{4FDDD635-EE33-4885-ADD6-240B08358035}" id="{412FAFAB-88CD-4987-8F61-AB173DAD1C04}">
    <text>Original filing used the Annual Pickups from the general rate case TG-220339. Revised to Customer count from TG-220339.</text>
  </threadedComment>
  <threadedComment ref="E45" dT="2022-12-03T22:58:42.29" personId="{4FDDD635-EE33-4885-ADD6-240B08358035}" id="{A429EAEB-6318-4733-88B3-15A1B418ADF3}">
    <text>Original filing used the Annual Pickups from the general rate case TG-220339. Revised to Customer count from TG-220339.</text>
  </threadedComment>
  <threadedComment ref="E46" dT="2022-12-03T22:58:46.73" personId="{4FDDD635-EE33-4885-ADD6-240B08358035}" id="{A664DFB1-000D-443B-99FA-B1CD139A29C7}">
    <text>Original filing used the Annual Pickups from the general rate case TG-220339. Revised to Customer count from TG-220339.</text>
  </threadedComment>
  <threadedComment ref="E47" dT="2022-12-03T22:58:51.79" personId="{4FDDD635-EE33-4885-ADD6-240B08358035}" id="{84048FB4-9F04-4641-9F2A-8F0D14EECA03}">
    <text>Original filing used the Annual Pickups from the general rate case TG-220339. Revised to Customer count from TG-220339.</text>
  </threadedComment>
  <threadedComment ref="E48" dT="2022-12-03T22:59:03.93" personId="{4FDDD635-EE33-4885-ADD6-240B08358035}" id="{72241BC6-9CAC-42DC-B812-470D55F42011}">
    <text>Original filing used the Annual Pickups from the general rate case TG-220339. Revised to Customer count from TG-220339.</text>
  </threadedComment>
  <threadedComment ref="E49" dT="2022-12-03T22:59:19.85" personId="{4FDDD635-EE33-4885-ADD6-240B08358035}" id="{15486181-DB41-4334-A281-497BE2F3B4C8}">
    <text>Original filing used the Annual Pickups from the general rate case TG-220339. Revised to Customer count from TG-220339.</text>
  </threadedComment>
  <threadedComment ref="E50" dT="2022-12-03T22:59:25.15" personId="{4FDDD635-EE33-4885-ADD6-240B08358035}" id="{106F04CF-862A-49F9-AAAA-A64DC409DDFC}">
    <text>Original filing used the Annual Pickups from the general rate case TG-220339. Revised to Customer count from TG-220339.</text>
  </threadedComment>
  <threadedComment ref="E51" dT="2022-12-03T22:59:28.91" personId="{4FDDD635-EE33-4885-ADD6-240B08358035}" id="{E91B301F-9B22-48B7-91B3-A94F9E97129F}">
    <text>Original filing used the Annual Pickups from the general rate case TG-220339. Revised to Customer count from TG-220339.</text>
  </threadedComment>
  <threadedComment ref="E52" dT="2022-12-03T22:59:33.18" personId="{4FDDD635-EE33-4885-ADD6-240B08358035}" id="{53B34EF9-6712-4215-BC05-02AEC575D6AA}">
    <text>Original filing used the Annual Pickups from the general rate case TG-220339. Revised to Customer count from TG-220339.</text>
  </threadedComment>
  <threadedComment ref="E53" dT="2022-12-03T22:59:40.05" personId="{4FDDD635-EE33-4885-ADD6-240B08358035}" id="{C3174D71-5E8E-42CF-96A1-35B3AA274121}">
    <text>Original filing used the Annual Pickups from the general rate case TG-220339. Revised to Customer count from TG-220339.</text>
  </threadedComment>
  <threadedComment ref="E54" dT="2022-12-03T22:59:45.32" personId="{4FDDD635-EE33-4885-ADD6-240B08358035}" id="{E92FC482-8D37-40DD-9C32-F0C719A22128}">
    <text>Original filing used the Annual Pickups from the general rate case TG-220339. Revised to Customer count from TG-220339.</text>
  </threadedComment>
  <threadedComment ref="E55" dT="2022-12-03T22:59:56.47" personId="{4FDDD635-EE33-4885-ADD6-240B08358035}" id="{C8CD74BB-C146-4D7E-99D4-D05C5DEEF467}">
    <text>Original filing used the Annual Pickups from the general rate case TG-220339. Revised to Customer count from TG-220339.</text>
  </threadedComment>
  <threadedComment ref="E56" dT="2022-12-03T23:00:10.94" personId="{4FDDD635-EE33-4885-ADD6-240B08358035}" id="{DDA798F5-2DDB-413B-A5AE-597AA7FD77EA}">
    <text>Original filing used the Annual Pickups from the general rate case TG-220339. Revised to Customer count from TG-220339.</text>
  </threadedComment>
  <threadedComment ref="E57" dT="2022-12-03T23:00:16.68" personId="{4FDDD635-EE33-4885-ADD6-240B08358035}" id="{5A9F69C2-5C1F-4DB2-904E-4DF15FCD6F97}">
    <text>Original filing used the Annual Pickups from the general rate case TG-220339. Revised to Customer count from TG-220339.</text>
  </threadedComment>
  <threadedComment ref="E58" dT="2022-12-03T23:00:20.60" personId="{4FDDD635-EE33-4885-ADD6-240B08358035}" id="{99371E00-729E-46D6-8153-B70CDBCD3D47}">
    <text>Original filing used the Annual Pickups from the general rate case TG-220339. Revised to Customer count from TG-220339.</text>
  </threadedComment>
  <threadedComment ref="E59" dT="2022-12-03T23:00:24.32" personId="{4FDDD635-EE33-4885-ADD6-240B08358035}" id="{A74A826C-F13D-4B41-80FF-2F008BCF15C1}">
    <text>Original filing used the Annual Pickups from the general rate case TG-220339. Revised to Customer count from TG-220339.</text>
  </threadedComment>
  <threadedComment ref="E60" dT="2022-12-03T23:00:29.55" personId="{4FDDD635-EE33-4885-ADD6-240B08358035}" id="{DAAF80AB-4255-483B-8C42-3E44BE51771C}">
    <text>Original filing used the Annual Pickups from the general rate case TG-220339. Revised to Customer count from TG-220339.</text>
  </threadedComment>
  <threadedComment ref="E61" dT="2022-12-03T23:00:33.23" personId="{4FDDD635-EE33-4885-ADD6-240B08358035}" id="{674AC90C-AC9C-48D1-8846-D3348DDCC5A2}">
    <text>Original filing used the Annual Pickups from the general rate case TG-220339. Revised to Customer count from TG-220339.</text>
  </threadedComment>
  <threadedComment ref="E62" dT="2022-12-03T23:00:36.98" personId="{4FDDD635-EE33-4885-ADD6-240B08358035}" id="{7D8182A4-E4E7-4A9F-9789-1C3B4DF84458}">
    <text>Original filing used the Annual Pickups from the general rate case TG-220339. Revised to Customer count from TG-220339.</text>
  </threadedComment>
  <threadedComment ref="E63" dT="2022-12-03T23:00:42.34" personId="{4FDDD635-EE33-4885-ADD6-240B08358035}" id="{946DC9EF-9811-4F53-AE7E-2B749F62B314}">
    <text>Original filing used the Annual Pickups from the general rate case TG-220339. Revised to Customer count from TG-220339.</text>
  </threadedComment>
  <threadedComment ref="E64" dT="2022-12-03T23:00:46.25" personId="{4FDDD635-EE33-4885-ADD6-240B08358035}" id="{C0615D51-B0A1-46C1-968A-465B6DB5AF2D}">
    <text>Original filing used the Annual Pickups from the general rate case TG-220339. Revised to Customer count from TG-220339.</text>
  </threadedComment>
  <threadedComment ref="E65" dT="2022-12-03T23:00:50.53" personId="{4FDDD635-EE33-4885-ADD6-240B08358035}" id="{CA6A34C7-AB15-400E-A32D-D32747212338}">
    <text>Original filing used the Annual Pickups from the general rate case TG-220339. Revised to Customer count from TG-220339.</text>
  </threadedComment>
  <threadedComment ref="E66" dT="2022-12-03T23:00:56.17" personId="{4FDDD635-EE33-4885-ADD6-240B08358035}" id="{20FBC187-FB5F-4E18-9033-796069F16FEE}">
    <text>Original filing used the Annual Pickups from the general rate case TG-220339. Revised to Customer count from TG-220339.</text>
  </threadedComment>
  <threadedComment ref="E67" dT="2022-12-03T23:01:00.32" personId="{4FDDD635-EE33-4885-ADD6-240B08358035}" id="{653905D4-2FC8-4078-AC37-D9C94E45841A}">
    <text>Original filing used the Annual Pickups from the general rate case TG-220339. Revised to Customer count from TG-220339.</text>
  </threadedComment>
  <threadedComment ref="E68" dT="2022-12-03T23:01:06.92" personId="{4FDDD635-EE33-4885-ADD6-240B08358035}" id="{62A3C397-1617-4E69-8B70-E81FEB9959D6}">
    <text>Original filing used the Annual Pickups from the general rate case TG-220339. Revised to Customer count from TG-220339.</text>
  </threadedComment>
  <threadedComment ref="E69" dT="2022-12-03T23:01:12.80" personId="{4FDDD635-EE33-4885-ADD6-240B08358035}" id="{086CEFF1-3DDF-46A5-9DEA-9A3BB1E65D11}">
    <text>Original filing used the Annual Pickups from the general rate case TG-220339. Revised to Customer count from TG-220339.</text>
  </threadedComment>
  <threadedComment ref="E70" dT="2022-12-03T23:01:17.57" personId="{4FDDD635-EE33-4885-ADD6-240B08358035}" id="{827B3D83-5F88-4BAD-AD99-C431687450E7}">
    <text>Original filing used the Annual Pickups from the general rate case TG-220339. Revised to Customer count from TG-220339.</text>
  </threadedComment>
  <threadedComment ref="E71" dT="2022-12-03T23:01:22.83" personId="{4FDDD635-EE33-4885-ADD6-240B08358035}" id="{F796B135-953B-4F2E-8F48-BA43CAD2F63E}">
    <text>Original filing used the Annual Pickups from the general rate case TG-220339. Revised to Customer count from TG-220339.</text>
  </threadedComment>
  <threadedComment ref="E72" dT="2022-12-03T23:01:28.06" personId="{4FDDD635-EE33-4885-ADD6-240B08358035}" id="{EC84B4D7-C889-491F-8F68-56A78A90D40A}">
    <text>Original filing used the Annual Pickups from the general rate case TG-220339. Revised to Customer count from TG-220339.</text>
  </threadedComment>
  <threadedComment ref="E73" dT="2022-12-03T23:01:32.57" personId="{4FDDD635-EE33-4885-ADD6-240B08358035}" id="{704010BA-C3B6-4AC2-99F2-0CC3AEC72F70}">
    <text>Original filing used the Annual Pickups from the general rate case TG-220339. Revised to Customer count from TG-220339.</text>
  </threadedComment>
  <threadedComment ref="E74" dT="2022-12-03T23:01:37.44" personId="{4FDDD635-EE33-4885-ADD6-240B08358035}" id="{32DF1D66-66CB-4416-BF74-8D9530A69AD1}">
    <text>Original filing used the Annual Pickups from the general rate case TG-220339. Revised to Customer count from TG-220339.</text>
  </threadedComment>
  <threadedComment ref="E75" dT="2022-12-03T23:01:43.15" personId="{4FDDD635-EE33-4885-ADD6-240B08358035}" id="{9995ADF2-B452-4F09-A2A1-D05682E2CCDD}">
    <text>Original filing used the Annual Pickups from the general rate case TG-220339. Revised to Customer count from TG-220339.</text>
  </threadedComment>
  <threadedComment ref="E76" dT="2022-12-03T23:01:52.75" personId="{4FDDD635-EE33-4885-ADD6-240B08358035}" id="{33FD54D5-BE37-49A1-AF14-15279DA0250B}">
    <text>Original filing used the Annual Pickups from the general rate case TG-220339. Revised to Customer count from TG-220339.</text>
  </threadedComment>
  <threadedComment ref="E77" dT="2022-12-03T23:02:00.10" personId="{4FDDD635-EE33-4885-ADD6-240B08358035}" id="{E5C0D40A-2743-429B-8F8B-2C0AC4CF6FBD}">
    <text>Original filing used the Annual Pickups from the general rate case TG-220339. Revised to Customer count from TG-220339.</text>
  </threadedComment>
  <threadedComment ref="E78" dT="2022-12-03T23:02:07.17" personId="{4FDDD635-EE33-4885-ADD6-240B08358035}" id="{22E8138B-4C5F-4ABD-AE83-1ED04FF6B4E3}">
    <text>Original filing used the Annual Pickups from the general rate case TG-220339. Revised to Customer count from TG-220339.</text>
  </threadedComment>
  <threadedComment ref="E79" dT="2022-12-03T23:02:13.98" personId="{4FDDD635-EE33-4885-ADD6-240B08358035}" id="{B9E79830-BAEB-4689-AD8D-C90FE85834E8}">
    <text>Original filing used the Annual Pickups from the general rate case TG-220339. Revised to Customer count from TG-220339.</text>
  </threadedComment>
  <threadedComment ref="E80" dT="2022-12-03T23:02:19.21" personId="{4FDDD635-EE33-4885-ADD6-240B08358035}" id="{8A9F7ADA-8B9B-4B26-96EF-2BA42652A3F7}">
    <text>Original filing used the Annual Pickups from the general rate case TG-220339. Revised to Customer count from TG-220339.</text>
  </threadedComment>
  <threadedComment ref="E81" dT="2022-12-03T23:02:25.57" personId="{4FDDD635-EE33-4885-ADD6-240B08358035}" id="{954F4E5A-C95E-458F-BAAF-9BD02EF2E3CA}">
    <text>Original filing used the Annual Pickups from the general rate case TG-220339. Revised to Customer count from TG-220339.</text>
  </threadedComment>
  <threadedComment ref="E82" dT="2022-12-03T23:02:30.24" personId="{4FDDD635-EE33-4885-ADD6-240B08358035}" id="{3DEF39E2-B1AB-4459-AFEB-60D99C52359B}">
    <text>Original filing used the Annual Pickups from the general rate case TG-220339. Revised to Customer count from TG-220339.</text>
  </threadedComment>
  <threadedComment ref="E83" dT="2022-12-03T23:02:40.46" personId="{4FDDD635-EE33-4885-ADD6-240B08358035}" id="{052F0686-6DC1-4454-A15D-2AB3B84D634F}">
    <text>Original filing used the Annual Pickups from the general rate case TG-220339. Revised to Customer count from TG-220339.</text>
  </threadedComment>
  <threadedComment ref="E84" dT="2022-12-03T23:02:46.79" personId="{4FDDD635-EE33-4885-ADD6-240B08358035}" id="{202A5EE6-9C1D-4818-8602-35A2E548DB7F}">
    <text>Original filing used the Annual Pickups from the general rate case TG-220339. Revised to Customer count from TG-220339.</text>
  </threadedComment>
  <threadedComment ref="E85" dT="2022-12-03T23:02:57.84" personId="{4FDDD635-EE33-4885-ADD6-240B08358035}" id="{681472ED-4A98-4880-96C3-E79293DB9243}">
    <text>Original filing used the Annual Pickups from the general rate case TG-220339. Revised to Customer count from TG-220339.</text>
  </threadedComment>
  <threadedComment ref="E86" dT="2022-12-03T23:03:09.65" personId="{4FDDD635-EE33-4885-ADD6-240B08358035}" id="{552700F8-AE7E-4979-8BB7-A0F0C1C21460}">
    <text>Original filing used the Annual Pickups from the general rate case TG-220339. Revised to Customer count from TG-220339.</text>
  </threadedComment>
  <threadedComment ref="E87" dT="2022-12-03T23:03:14.97" personId="{4FDDD635-EE33-4885-ADD6-240B08358035}" id="{97C5353E-8561-465D-AEFE-BDAA14231051}">
    <text>Original filing used the Annual Pickups from the general rate case TG-220339. Revised to Customer count from TG-220339.</text>
  </threadedComment>
  <threadedComment ref="E88" dT="2022-12-03T23:03:19.62" personId="{4FDDD635-EE33-4885-ADD6-240B08358035}" id="{A32D7669-FCD6-425D-BF23-918157140F46}">
    <text>Original filing used the Annual Pickups from the general rate case TG-220339. Revised to Customer count from TG-220339.</text>
  </threadedComment>
  <threadedComment ref="E89" dT="2022-12-03T23:03:24.40" personId="{4FDDD635-EE33-4885-ADD6-240B08358035}" id="{A2D7EE5F-39BE-4BB3-A054-4F6C87713E18}">
    <text>Original filing used the Annual Pickups from the general rate case TG-220339. Revised to Customer count from TG-220339.</text>
  </threadedComment>
  <threadedComment ref="E90" dT="2022-12-03T23:03:29.43" personId="{4FDDD635-EE33-4885-ADD6-240B08358035}" id="{5B72C5D1-7942-4614-98FB-F94C3A9E920D}">
    <text>Original filing used the Annual Pickups from the general rate case TG-220339. Revised to Customer count from TG-220339.</text>
  </threadedComment>
  <threadedComment ref="E91" dT="2022-12-03T23:03:35.60" personId="{4FDDD635-EE33-4885-ADD6-240B08358035}" id="{3621FF39-6918-4F05-A820-A1588172BC81}">
    <text>Original filing used the Annual Pickups from the general rate case TG-220339. Revised to Customer count from TG-220339.</text>
  </threadedComment>
  <threadedComment ref="E92" dT="2022-12-03T23:03:44.45" personId="{4FDDD635-EE33-4885-ADD6-240B08358035}" id="{75DEAEE0-29AF-4F63-AE68-88AEF9835DC9}">
    <text>Original filing used the Annual Pickups from the general rate case TG-220339. Revised to Customer count from TG-220339.</text>
  </threadedComment>
  <threadedComment ref="N92" dT="2022-12-03T23:35:34.78" personId="{4FDDD635-EE33-4885-ADD6-240B08358035}" id="{2700A2A4-2E5E-4040-AAE2-D40C85930D2A}">
    <text>Multiplied by monthly pickups to calculate increase in monthly bill minimum.</text>
  </threadedComment>
  <threadedComment ref="E93" dT="2022-12-03T23:03:51.95" personId="{4FDDD635-EE33-4885-ADD6-240B08358035}" id="{CE17081D-942B-4C5F-9185-D470F3FDFED1}">
    <text>Original filing used the Annual Pickups from the general rate case TG-220339. Revised to Customer count from TG-220339.</text>
  </threadedComment>
  <threadedComment ref="E94" dT="2022-12-03T23:04:03.93" personId="{4FDDD635-EE33-4885-ADD6-240B08358035}" id="{4B4A6E47-344D-4B2C-96E3-976EE70D12F3}">
    <text>Original filing used the Annual Pickups from the general rate case TG-220339. Revised to Customer count from TG-220339.</text>
  </threadedComment>
  <threadedComment ref="E95" dT="2022-12-03T23:04:15.95" personId="{4FDDD635-EE33-4885-ADD6-240B08358035}" id="{C2FC4FB6-33BD-40FE-A449-E0796B2462EF}">
    <text>Original filing used the Annual Pickups from the general rate case TG-220339. Revised to Customer count from TG-220339.</text>
  </threadedComment>
  <threadedComment ref="E96" dT="2022-12-03T23:05:09.12" personId="{4FDDD635-EE33-4885-ADD6-240B08358035}" id="{5EDFBF2E-559D-4971-8D17-DD4D53CC23A7}">
    <text>Original filing used the Annual Pickups from the general rate case TG-220339. Revised to Customer count from TG-220339.</text>
  </threadedComment>
  <threadedComment ref="E97" dT="2022-12-03T23:05:17.04" personId="{4FDDD635-EE33-4885-ADD6-240B08358035}" id="{01BAFC55-2AD9-4777-ADE5-116FE9469330}">
    <text>Original filing used the Annual Pickups from the general rate case TG-220339. Revised to Customer count from TG-220339.</text>
  </threadedComment>
  <threadedComment ref="E98" dT="2022-12-03T23:05:21.16" personId="{4FDDD635-EE33-4885-ADD6-240B08358035}" id="{2C84A696-D98C-4814-A863-D0974095F08C}">
    <text>Original filing used the Annual Pickups from the general rate case TG-220339. Revised to Customer count from TG-220339.</text>
  </threadedComment>
  <threadedComment ref="E99" dT="2022-12-03T23:05:26.40" personId="{4FDDD635-EE33-4885-ADD6-240B08358035}" id="{4A410F09-1A3F-4CD3-BD97-D97A87738643}">
    <text>Original filing used the Annual Pickups from the general rate case TG-220339. Revised to Customer count from TG-220339.</text>
  </threadedComment>
  <threadedComment ref="E100" dT="2022-12-03T23:05:30.69" personId="{4FDDD635-EE33-4885-ADD6-240B08358035}" id="{11737ABA-6263-4667-B4A0-66A01B87D7BD}">
    <text>Original filing used the Annual Pickups from the general rate case TG-220339. Revised to Customer count from TG-220339.</text>
  </threadedComment>
  <threadedComment ref="E101" dT="2022-12-03T23:05:36.13" personId="{4FDDD635-EE33-4885-ADD6-240B08358035}" id="{411F8380-80F7-4CC3-A3E3-C7AB8308858C}">
    <text>Original filing used the Annual Pickups from the general rate case TG-220339. Revised to Customer count from TG-220339.</text>
  </threadedComment>
  <threadedComment ref="E102" dT="2022-12-03T23:05:41.32" personId="{4FDDD635-EE33-4885-ADD6-240B08358035}" id="{B4FEECDD-78B3-4D8C-962E-097D775A517F}">
    <text>Original filing used the Annual Pickups from the general rate case TG-220339. Revised to Customer count from TG-220339.</text>
  </threadedComment>
  <threadedComment ref="E103" dT="2022-12-03T23:05:46.64" personId="{4FDDD635-EE33-4885-ADD6-240B08358035}" id="{CEE536BD-31DC-4F15-B659-09B62E1C0292}">
    <text>Original filing used the Annual Pickups from the general rate case TG-220339. Revised to Customer count from TG-220339.</text>
  </threadedComment>
  <threadedComment ref="E104" dT="2022-12-03T23:05:52.82" personId="{4FDDD635-EE33-4885-ADD6-240B08358035}" id="{2FFCA777-5EEF-4B52-A1E1-C4DA9C7BDE5B}">
    <text>Original filing used the Annual Pickups from the general rate case TG-220339. Revised to Customer count from TG-220339.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"/>
  <sheetViews>
    <sheetView showGridLines="0" topLeftCell="A33" zoomScaleNormal="100" zoomScaleSheetLayoutView="100" zoomScalePageLayoutView="80" workbookViewId="0">
      <selection activeCell="E100" sqref="E100"/>
    </sheetView>
  </sheetViews>
  <sheetFormatPr defaultColWidth="9.109375" defaultRowHeight="13.8"/>
  <cols>
    <col min="1" max="1" width="26.109375" style="3" customWidth="1"/>
    <col min="2" max="2" width="7" style="3" customWidth="1"/>
    <col min="3" max="3" width="22" style="3" customWidth="1"/>
    <col min="4" max="4" width="9.5546875" style="3" bestFit="1" customWidth="1"/>
    <col min="5" max="5" width="10.6640625" style="3" bestFit="1" customWidth="1"/>
    <col min="6" max="6" width="26.6640625" style="3" bestFit="1" customWidth="1"/>
    <col min="7" max="7" width="10.109375" style="3" bestFit="1" customWidth="1"/>
    <col min="8" max="8" width="7.5546875" style="3" bestFit="1" customWidth="1"/>
    <col min="9" max="9" width="9.33203125" style="3" bestFit="1" customWidth="1"/>
    <col min="10" max="10" width="9.5546875" style="3" bestFit="1" customWidth="1"/>
    <col min="11" max="11" width="14.5546875" style="3" customWidth="1"/>
    <col min="12" max="12" width="9.109375" style="3"/>
    <col min="13" max="13" width="17.44140625" style="3" customWidth="1"/>
    <col min="14" max="16384" width="9.109375" style="3"/>
  </cols>
  <sheetData>
    <row r="1" spans="1:10">
      <c r="A1" s="81" t="s">
        <v>348</v>
      </c>
    </row>
    <row r="2" spans="1:10">
      <c r="A2" s="77" t="s">
        <v>315</v>
      </c>
    </row>
    <row r="3" spans="1:10" ht="14.4" thickBot="1">
      <c r="A3" s="77"/>
    </row>
    <row r="4" spans="1:10" customFormat="1" ht="25.5" customHeight="1" thickBot="1">
      <c r="A4" s="268" t="s">
        <v>371</v>
      </c>
      <c r="B4" s="269"/>
      <c r="C4" s="269"/>
      <c r="D4" s="269"/>
      <c r="E4" s="269"/>
      <c r="F4" s="269"/>
      <c r="G4" s="269"/>
      <c r="H4" s="269"/>
      <c r="I4" s="270"/>
    </row>
    <row r="6" spans="1:10">
      <c r="A6" s="271" t="s">
        <v>0</v>
      </c>
      <c r="B6" s="271"/>
      <c r="C6" s="271"/>
      <c r="D6" s="271"/>
      <c r="E6" s="271"/>
      <c r="F6" s="271"/>
      <c r="G6" s="271"/>
      <c r="H6" s="271"/>
      <c r="I6" s="271"/>
      <c r="J6" s="8"/>
    </row>
    <row r="7" spans="1:10">
      <c r="A7" s="3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</row>
    <row r="8" spans="1:10">
      <c r="A8" s="3" t="s">
        <v>9</v>
      </c>
      <c r="C8" s="5">
        <f>+C12*5</f>
        <v>21.65</v>
      </c>
      <c r="D8" s="10">
        <f>ROUND($C$8*2,2)</f>
        <v>43.3</v>
      </c>
      <c r="E8" s="10">
        <f>ROUND($C$8*3,2)</f>
        <v>64.95</v>
      </c>
      <c r="F8" s="10">
        <f>ROUND($C$8*4,2)</f>
        <v>86.6</v>
      </c>
      <c r="G8" s="10">
        <f>ROUND($C$8*5,2)</f>
        <v>108.25</v>
      </c>
      <c r="H8" s="10">
        <f>ROUND($C$8*6,2)</f>
        <v>129.9</v>
      </c>
      <c r="I8" s="10">
        <f>ROUND($C$8*7,2)</f>
        <v>151.55000000000001</v>
      </c>
    </row>
    <row r="9" spans="1:10">
      <c r="A9" s="3" t="s">
        <v>10</v>
      </c>
      <c r="C9" s="5">
        <f>+C12*4</f>
        <v>17.32</v>
      </c>
      <c r="D9" s="10">
        <f>ROUND($C$9*2,2)</f>
        <v>34.64</v>
      </c>
      <c r="E9" s="10">
        <f>ROUND($C$9*3,2)</f>
        <v>51.96</v>
      </c>
      <c r="F9" s="10">
        <f>ROUND($C$9*4,2)</f>
        <v>69.28</v>
      </c>
      <c r="G9" s="10">
        <f>ROUND($C$9*5,2)</f>
        <v>86.6</v>
      </c>
      <c r="H9" s="10">
        <f>ROUND($C$9*6,2)</f>
        <v>103.92</v>
      </c>
      <c r="I9" s="10">
        <f>ROUND($C$9*7,2)</f>
        <v>121.24</v>
      </c>
    </row>
    <row r="10" spans="1:10">
      <c r="A10" s="3" t="s">
        <v>11</v>
      </c>
      <c r="C10" s="5">
        <f>+C12*3</f>
        <v>12.99</v>
      </c>
      <c r="D10" s="10">
        <f>ROUND($C$10*2,2)</f>
        <v>25.98</v>
      </c>
      <c r="E10" s="10">
        <f>ROUND($C$10*3,2)</f>
        <v>38.97</v>
      </c>
      <c r="F10" s="10">
        <f>ROUND($C$10*4,2)</f>
        <v>51.96</v>
      </c>
      <c r="G10" s="10">
        <f>ROUND($C$10*5,2)</f>
        <v>64.95</v>
      </c>
      <c r="H10" s="10">
        <f>ROUND($C$10*6,2)</f>
        <v>77.94</v>
      </c>
      <c r="I10" s="10">
        <f>ROUND($C$10*7,2)</f>
        <v>90.93</v>
      </c>
    </row>
    <row r="11" spans="1:10">
      <c r="A11" s="3" t="s">
        <v>12</v>
      </c>
      <c r="C11" s="5">
        <f>+C12*2</f>
        <v>8.66</v>
      </c>
      <c r="D11" s="7">
        <f>ROUND($C$11*2,2)</f>
        <v>17.32</v>
      </c>
      <c r="E11" s="7">
        <f>ROUND($C$11*3,2)</f>
        <v>25.98</v>
      </c>
      <c r="F11" s="7">
        <f>ROUND($C$11*4,2)</f>
        <v>34.64</v>
      </c>
      <c r="G11" s="7">
        <f>ROUND($C$11*5,2)</f>
        <v>43.3</v>
      </c>
      <c r="H11" s="7">
        <f>ROUND($C$11*6,2)</f>
        <v>51.96</v>
      </c>
      <c r="I11" s="7">
        <f>ROUND($C$11*7,2)</f>
        <v>60.62</v>
      </c>
    </row>
    <row r="12" spans="1:10">
      <c r="A12" s="3" t="s">
        <v>13</v>
      </c>
      <c r="C12" s="5">
        <f>ROUND(52/12,2)</f>
        <v>4.33</v>
      </c>
      <c r="D12" s="7">
        <f>ROUND($C$12*2,2)</f>
        <v>8.66</v>
      </c>
      <c r="E12" s="7">
        <f>ROUND($C$12*3,2)</f>
        <v>12.99</v>
      </c>
      <c r="F12" s="7">
        <f>ROUND($C$12*4,2)</f>
        <v>17.32</v>
      </c>
      <c r="G12" s="7">
        <f>ROUND($C$12*5,2)</f>
        <v>21.65</v>
      </c>
      <c r="H12" s="7">
        <f>ROUND($C$12*6,2)</f>
        <v>25.98</v>
      </c>
      <c r="I12" s="7">
        <f>ROUND($C$12*7,2)</f>
        <v>30.31</v>
      </c>
    </row>
    <row r="13" spans="1:10">
      <c r="A13" s="3" t="s">
        <v>14</v>
      </c>
      <c r="C13" s="5">
        <f>ROUND(26/12,2)</f>
        <v>2.17</v>
      </c>
      <c r="D13" s="7">
        <f>ROUND($C$13*2,2)</f>
        <v>4.34</v>
      </c>
      <c r="E13" s="7">
        <f>ROUND($C$13*3,2)</f>
        <v>6.51</v>
      </c>
      <c r="F13" s="7">
        <f>ROUND($C$13*4,2)</f>
        <v>8.68</v>
      </c>
      <c r="G13" s="7">
        <f>ROUND($C$13*5,2)</f>
        <v>10.85</v>
      </c>
      <c r="H13" s="7">
        <f>ROUND($C$13*6,2)</f>
        <v>13.02</v>
      </c>
      <c r="I13" s="7">
        <f>ROUND($C$13*7,2)</f>
        <v>15.19</v>
      </c>
    </row>
    <row r="14" spans="1:10">
      <c r="A14" s="3" t="s">
        <v>15</v>
      </c>
      <c r="C14" s="5">
        <f>12/12</f>
        <v>1</v>
      </c>
      <c r="D14" s="7">
        <f>$C$14*2</f>
        <v>2</v>
      </c>
      <c r="E14" s="7">
        <f>$C$14*3</f>
        <v>3</v>
      </c>
      <c r="F14" s="7">
        <f>$C$14*4</f>
        <v>4</v>
      </c>
      <c r="G14" s="7">
        <f>$C$14*5</f>
        <v>5</v>
      </c>
      <c r="H14" s="7">
        <f>$C$14*6</f>
        <v>6</v>
      </c>
      <c r="I14" s="7">
        <f>$C$14*7</f>
        <v>7</v>
      </c>
    </row>
    <row r="15" spans="1:10">
      <c r="A15" s="3" t="s">
        <v>16</v>
      </c>
      <c r="C15" s="5">
        <v>1</v>
      </c>
      <c r="D15" s="7"/>
      <c r="E15" s="7"/>
      <c r="F15" s="7"/>
      <c r="G15" s="7"/>
      <c r="H15" s="7"/>
      <c r="I15" s="7"/>
    </row>
    <row r="16" spans="1:10">
      <c r="C16" s="5"/>
      <c r="D16" s="7"/>
      <c r="E16" s="7"/>
      <c r="F16" s="7"/>
      <c r="G16" s="7"/>
      <c r="H16" s="7"/>
      <c r="I16" s="7"/>
    </row>
    <row r="17" spans="1:9">
      <c r="A17" s="271" t="s">
        <v>17</v>
      </c>
      <c r="B17" s="271"/>
      <c r="C17" s="271"/>
      <c r="D17" s="7"/>
      <c r="E17" s="7"/>
      <c r="F17" s="7"/>
      <c r="G17" s="7"/>
      <c r="H17" s="7"/>
      <c r="I17" s="7"/>
    </row>
    <row r="18" spans="1:9">
      <c r="A18" s="1" t="s">
        <v>18</v>
      </c>
      <c r="B18" s="1"/>
      <c r="C18" s="11" t="s">
        <v>19</v>
      </c>
      <c r="D18" s="7"/>
      <c r="E18" s="7"/>
      <c r="F18" s="7"/>
      <c r="G18" s="7"/>
      <c r="H18" s="7"/>
      <c r="I18" s="7"/>
    </row>
    <row r="19" spans="1:9">
      <c r="A19" s="12" t="s">
        <v>20</v>
      </c>
      <c r="B19" s="12"/>
      <c r="C19" s="6">
        <v>20</v>
      </c>
      <c r="D19" s="7"/>
      <c r="E19" s="7"/>
      <c r="F19" s="7"/>
      <c r="G19" s="7"/>
      <c r="H19" s="7"/>
      <c r="I19" s="7"/>
    </row>
    <row r="20" spans="1:9">
      <c r="A20" s="12" t="s">
        <v>21</v>
      </c>
      <c r="B20" s="12"/>
      <c r="C20" s="6">
        <v>34</v>
      </c>
      <c r="D20" s="7"/>
      <c r="E20" s="7"/>
      <c r="F20" s="7"/>
      <c r="G20" s="7"/>
      <c r="H20" s="7"/>
      <c r="I20" s="7"/>
    </row>
    <row r="21" spans="1:9">
      <c r="A21" s="12" t="s">
        <v>22</v>
      </c>
      <c r="B21" s="12"/>
      <c r="C21" s="6">
        <v>51</v>
      </c>
      <c r="D21" s="7"/>
      <c r="E21" s="7"/>
      <c r="F21" s="7"/>
      <c r="G21" s="7"/>
      <c r="H21" s="7"/>
      <c r="I21" s="7"/>
    </row>
    <row r="22" spans="1:9">
      <c r="A22" s="12" t="s">
        <v>23</v>
      </c>
      <c r="B22" s="12"/>
      <c r="C22" s="6">
        <v>77</v>
      </c>
      <c r="D22" s="7"/>
      <c r="E22" s="7"/>
      <c r="F22" s="7"/>
      <c r="G22" s="3" t="s">
        <v>24</v>
      </c>
      <c r="H22" s="6">
        <v>2000</v>
      </c>
      <c r="I22" s="7"/>
    </row>
    <row r="23" spans="1:9">
      <c r="A23" s="12" t="s">
        <v>25</v>
      </c>
      <c r="B23" s="12"/>
      <c r="C23" s="6">
        <v>97</v>
      </c>
      <c r="D23" s="7"/>
      <c r="E23" s="7"/>
      <c r="F23" s="7"/>
      <c r="G23" s="3" t="s">
        <v>26</v>
      </c>
      <c r="H23" s="78" t="s">
        <v>313</v>
      </c>
      <c r="I23" s="7"/>
    </row>
    <row r="24" spans="1:9">
      <c r="A24" s="12" t="s">
        <v>27</v>
      </c>
      <c r="B24" s="12"/>
      <c r="C24" s="79">
        <v>117</v>
      </c>
      <c r="D24" s="7"/>
      <c r="E24" s="7"/>
      <c r="F24" s="7"/>
      <c r="I24" s="7"/>
    </row>
    <row r="25" spans="1:9">
      <c r="A25" s="12" t="s">
        <v>28</v>
      </c>
      <c r="B25" s="12"/>
      <c r="C25" s="79">
        <v>137</v>
      </c>
      <c r="D25" s="7"/>
      <c r="E25" s="7"/>
      <c r="F25" s="7"/>
      <c r="G25" s="2" t="s">
        <v>29</v>
      </c>
      <c r="H25" s="13">
        <v>12</v>
      </c>
      <c r="I25" s="7"/>
    </row>
    <row r="26" spans="1:9">
      <c r="A26" s="12" t="s">
        <v>30</v>
      </c>
      <c r="B26" s="12"/>
      <c r="C26" s="79">
        <f>C25+20+20</f>
        <v>177</v>
      </c>
      <c r="D26" s="7"/>
      <c r="E26" s="7"/>
      <c r="F26" s="7"/>
      <c r="G26" s="2"/>
      <c r="H26" s="13"/>
      <c r="I26" s="7"/>
    </row>
    <row r="27" spans="1:9">
      <c r="A27" s="12" t="s">
        <v>31</v>
      </c>
      <c r="B27" s="12"/>
      <c r="C27" s="79">
        <v>40</v>
      </c>
      <c r="D27" s="7" t="s">
        <v>32</v>
      </c>
      <c r="E27" s="7"/>
      <c r="F27" s="7"/>
      <c r="G27" s="14"/>
      <c r="H27" s="15"/>
      <c r="I27" s="7"/>
    </row>
    <row r="28" spans="1:9">
      <c r="A28" s="12" t="s">
        <v>33</v>
      </c>
      <c r="B28" s="12"/>
      <c r="C28" s="79">
        <v>47</v>
      </c>
      <c r="D28" s="7"/>
      <c r="E28" s="7"/>
      <c r="F28" s="7"/>
      <c r="G28" s="7"/>
      <c r="H28" s="7"/>
      <c r="I28" s="7"/>
    </row>
    <row r="29" spans="1:9">
      <c r="A29" s="12" t="s">
        <v>34</v>
      </c>
      <c r="B29" s="12"/>
      <c r="C29" s="79">
        <f>C21</f>
        <v>51</v>
      </c>
      <c r="D29" s="7"/>
      <c r="E29" s="7"/>
      <c r="F29" s="7"/>
      <c r="G29" s="7"/>
      <c r="H29" s="7"/>
      <c r="I29" s="7"/>
    </row>
    <row r="30" spans="1:9">
      <c r="A30" s="12" t="s">
        <v>35</v>
      </c>
      <c r="B30" s="12"/>
      <c r="C30" s="79">
        <v>68</v>
      </c>
      <c r="D30" s="7"/>
      <c r="E30" s="7"/>
      <c r="F30" s="7"/>
      <c r="G30" s="7"/>
      <c r="H30" s="7"/>
      <c r="I30" s="7"/>
    </row>
    <row r="31" spans="1:9">
      <c r="A31" s="12" t="s">
        <v>36</v>
      </c>
      <c r="B31" s="12"/>
      <c r="C31" s="79">
        <f>C22</f>
        <v>77</v>
      </c>
      <c r="D31" s="7"/>
      <c r="E31" s="7"/>
      <c r="F31" s="7"/>
      <c r="G31" s="7"/>
      <c r="H31" s="7"/>
      <c r="I31" s="7"/>
    </row>
    <row r="32" spans="1:9">
      <c r="A32" s="12" t="s">
        <v>37</v>
      </c>
      <c r="B32" s="12"/>
      <c r="C32" s="79">
        <v>34</v>
      </c>
      <c r="D32" s="7"/>
      <c r="E32" s="7"/>
      <c r="F32" s="7"/>
      <c r="G32" s="7"/>
      <c r="H32" s="7"/>
      <c r="I32" s="7"/>
    </row>
    <row r="33" spans="1:9">
      <c r="A33" s="12" t="s">
        <v>38</v>
      </c>
      <c r="B33" s="12"/>
      <c r="C33" s="79">
        <v>34</v>
      </c>
      <c r="D33" s="7"/>
      <c r="E33" s="7"/>
      <c r="F33" s="7"/>
      <c r="G33" s="7"/>
      <c r="H33" s="7"/>
      <c r="I33" s="7"/>
    </row>
    <row r="34" spans="1:9">
      <c r="A34" s="1" t="s">
        <v>39</v>
      </c>
      <c r="B34" s="1"/>
      <c r="C34" s="79"/>
      <c r="D34" s="7"/>
      <c r="E34" s="7"/>
      <c r="F34" s="7"/>
      <c r="G34" s="7"/>
      <c r="H34" s="7"/>
      <c r="I34" s="7"/>
    </row>
    <row r="35" spans="1:9">
      <c r="A35" s="12" t="s">
        <v>40</v>
      </c>
      <c r="B35" s="12"/>
      <c r="C35" s="79">
        <v>29</v>
      </c>
      <c r="D35" s="7"/>
      <c r="E35" s="7"/>
      <c r="F35" s="7"/>
      <c r="G35" s="7"/>
      <c r="H35" s="7"/>
      <c r="I35" s="7"/>
    </row>
    <row r="36" spans="1:9">
      <c r="A36" s="12" t="s">
        <v>41</v>
      </c>
      <c r="B36" s="12"/>
      <c r="C36" s="79">
        <v>125</v>
      </c>
      <c r="D36" s="7"/>
      <c r="E36" s="7"/>
      <c r="F36" s="7"/>
      <c r="G36" s="7"/>
      <c r="H36" s="7"/>
      <c r="I36" s="7"/>
    </row>
    <row r="37" spans="1:9">
      <c r="A37" s="12" t="s">
        <v>42</v>
      </c>
      <c r="B37" s="12"/>
      <c r="C37" s="79">
        <v>175</v>
      </c>
      <c r="D37" s="7"/>
      <c r="E37" s="7"/>
      <c r="F37" s="7"/>
      <c r="G37" s="7"/>
      <c r="H37" s="7"/>
      <c r="I37" s="7"/>
    </row>
    <row r="38" spans="1:9">
      <c r="A38" s="12" t="s">
        <v>43</v>
      </c>
      <c r="B38" s="12"/>
      <c r="C38" s="79">
        <v>250</v>
      </c>
      <c r="D38" s="7"/>
      <c r="E38" s="7"/>
      <c r="F38" s="7"/>
      <c r="G38" s="7"/>
      <c r="H38" s="7"/>
      <c r="I38" s="7"/>
    </row>
    <row r="39" spans="1:9">
      <c r="A39" s="12" t="s">
        <v>44</v>
      </c>
      <c r="B39" s="12"/>
      <c r="C39" s="79">
        <v>324</v>
      </c>
      <c r="D39" s="7"/>
      <c r="E39" s="7"/>
      <c r="F39" s="7"/>
      <c r="G39" s="7"/>
      <c r="H39" s="7"/>
      <c r="I39" s="7"/>
    </row>
    <row r="40" spans="1:9">
      <c r="A40" s="12" t="s">
        <v>45</v>
      </c>
      <c r="B40" s="12"/>
      <c r="C40" s="79">
        <v>473</v>
      </c>
      <c r="D40" s="7"/>
      <c r="E40" s="7"/>
      <c r="F40" s="7"/>
      <c r="G40" s="7"/>
      <c r="H40" s="7"/>
      <c r="I40" s="7"/>
    </row>
    <row r="41" spans="1:9">
      <c r="A41" s="12" t="s">
        <v>46</v>
      </c>
      <c r="B41" s="12"/>
      <c r="C41" s="79">
        <v>613</v>
      </c>
      <c r="D41" s="7"/>
      <c r="E41" s="7"/>
      <c r="F41" s="7"/>
      <c r="G41" s="7"/>
      <c r="H41" s="7"/>
      <c r="I41" s="7"/>
    </row>
    <row r="42" spans="1:9">
      <c r="A42" s="16" t="s">
        <v>47</v>
      </c>
      <c r="B42" s="16"/>
      <c r="C42" s="79">
        <f>C41+115</f>
        <v>728</v>
      </c>
      <c r="D42" s="7"/>
      <c r="E42" s="7"/>
      <c r="F42" s="7"/>
      <c r="G42" s="7"/>
      <c r="H42" s="7"/>
      <c r="I42" s="7"/>
    </row>
    <row r="43" spans="1:9">
      <c r="A43" s="12" t="s">
        <v>48</v>
      </c>
      <c r="B43" s="12"/>
      <c r="C43" s="79">
        <v>840</v>
      </c>
      <c r="D43" s="7"/>
      <c r="E43" s="7"/>
      <c r="F43" s="7"/>
      <c r="G43" s="7"/>
      <c r="H43" s="7"/>
      <c r="I43" s="7"/>
    </row>
    <row r="44" spans="1:9">
      <c r="A44" s="12" t="s">
        <v>49</v>
      </c>
      <c r="B44" s="12"/>
      <c r="C44" s="79">
        <v>980</v>
      </c>
      <c r="D44" s="7"/>
      <c r="E44" s="7"/>
      <c r="F44" s="7"/>
      <c r="G44" s="7"/>
      <c r="H44" s="7"/>
      <c r="I44" s="7"/>
    </row>
    <row r="45" spans="1:9">
      <c r="A45" s="17" t="s">
        <v>50</v>
      </c>
      <c r="B45" s="17">
        <v>2.25</v>
      </c>
      <c r="C45" s="79"/>
      <c r="D45" s="18"/>
      <c r="E45" s="7"/>
      <c r="F45" s="7"/>
      <c r="G45" s="7"/>
      <c r="H45" s="7"/>
      <c r="I45" s="7"/>
    </row>
    <row r="46" spans="1:9">
      <c r="A46" s="12" t="s">
        <v>51</v>
      </c>
      <c r="B46" s="12"/>
      <c r="C46" s="79">
        <f>C39*$B$45</f>
        <v>729</v>
      </c>
      <c r="D46" s="7" t="s">
        <v>32</v>
      </c>
      <c r="E46" s="7"/>
      <c r="F46" s="7"/>
      <c r="G46" s="7"/>
      <c r="H46" s="7"/>
      <c r="I46" s="7"/>
    </row>
    <row r="47" spans="1:9">
      <c r="A47" s="12" t="s">
        <v>52</v>
      </c>
      <c r="B47" s="12"/>
      <c r="C47" s="6">
        <f>C41*$B$45</f>
        <v>1379.25</v>
      </c>
      <c r="D47" s="7" t="s">
        <v>32</v>
      </c>
      <c r="E47" s="7"/>
      <c r="F47" s="7"/>
      <c r="G47" s="7"/>
      <c r="H47" s="7"/>
      <c r="I47" s="7"/>
    </row>
    <row r="48" spans="1:9">
      <c r="A48" s="12" t="s">
        <v>53</v>
      </c>
      <c r="B48" s="12"/>
      <c r="C48" s="6">
        <f>C43*$B$45</f>
        <v>1890</v>
      </c>
      <c r="D48" s="7" t="s">
        <v>32</v>
      </c>
      <c r="E48" s="7"/>
      <c r="F48" s="7"/>
      <c r="G48" s="7"/>
      <c r="H48" s="7"/>
      <c r="I48" s="7"/>
    </row>
    <row r="49" spans="1:9">
      <c r="A49" s="17" t="s">
        <v>54</v>
      </c>
      <c r="B49" s="17">
        <v>3</v>
      </c>
      <c r="C49" s="6"/>
      <c r="D49" s="7"/>
      <c r="E49" s="7"/>
      <c r="F49" s="7"/>
      <c r="G49" s="7"/>
      <c r="H49" s="7"/>
      <c r="I49" s="7"/>
    </row>
    <row r="50" spans="1:9">
      <c r="A50" s="12" t="s">
        <v>51</v>
      </c>
      <c r="B50" s="12"/>
      <c r="C50" s="19">
        <f>C39*$B$49</f>
        <v>972</v>
      </c>
      <c r="D50" s="7" t="s">
        <v>32</v>
      </c>
      <c r="E50" s="7"/>
      <c r="F50" s="7"/>
      <c r="G50" s="7"/>
      <c r="H50" s="7"/>
      <c r="I50" s="7"/>
    </row>
    <row r="51" spans="1:9">
      <c r="A51" s="12" t="s">
        <v>55</v>
      </c>
      <c r="B51" s="12"/>
      <c r="C51" s="19">
        <f>C40*$B$49</f>
        <v>1419</v>
      </c>
      <c r="D51" s="7" t="s">
        <v>32</v>
      </c>
      <c r="E51" s="7"/>
      <c r="F51" s="7"/>
      <c r="G51" s="7"/>
      <c r="H51" s="7"/>
      <c r="I51" s="7"/>
    </row>
    <row r="52" spans="1:9">
      <c r="A52" s="12" t="s">
        <v>52</v>
      </c>
      <c r="B52" s="12"/>
      <c r="C52" s="19">
        <f>C41*$B$49</f>
        <v>1839</v>
      </c>
      <c r="D52" s="7" t="s">
        <v>32</v>
      </c>
      <c r="E52" s="7"/>
      <c r="F52" s="7"/>
      <c r="G52" s="7"/>
      <c r="H52" s="7"/>
      <c r="I52" s="7"/>
    </row>
    <row r="53" spans="1:9">
      <c r="A53" s="12" t="s">
        <v>53</v>
      </c>
      <c r="B53" s="12"/>
      <c r="C53" s="19">
        <f>C43*$B$49</f>
        <v>2520</v>
      </c>
      <c r="D53" s="7" t="s">
        <v>32</v>
      </c>
      <c r="E53" s="7"/>
      <c r="F53" s="7"/>
      <c r="G53" s="7"/>
      <c r="H53" s="7"/>
      <c r="I53" s="7"/>
    </row>
    <row r="54" spans="1:9">
      <c r="A54" s="17" t="s">
        <v>56</v>
      </c>
      <c r="B54" s="17">
        <v>4</v>
      </c>
      <c r="C54" s="6"/>
      <c r="D54" s="7"/>
      <c r="E54" s="7"/>
      <c r="F54" s="7"/>
      <c r="G54" s="7"/>
      <c r="H54" s="7"/>
      <c r="I54" s="7"/>
    </row>
    <row r="55" spans="1:9">
      <c r="A55" s="12" t="s">
        <v>311</v>
      </c>
      <c r="B55" s="17"/>
      <c r="C55" s="6">
        <f>C38*B54</f>
        <v>1000</v>
      </c>
      <c r="D55" s="7" t="s">
        <v>32</v>
      </c>
      <c r="E55" s="7"/>
      <c r="F55" s="7"/>
      <c r="G55" s="7"/>
      <c r="H55" s="7"/>
      <c r="I55" s="7"/>
    </row>
    <row r="56" spans="1:9">
      <c r="A56" s="12" t="s">
        <v>51</v>
      </c>
      <c r="B56" s="17"/>
      <c r="C56" s="6">
        <f>C39*B54</f>
        <v>1296</v>
      </c>
      <c r="D56" s="7" t="s">
        <v>32</v>
      </c>
      <c r="E56" s="7"/>
      <c r="F56" s="7"/>
      <c r="G56" s="7"/>
      <c r="H56" s="7"/>
      <c r="I56" s="7"/>
    </row>
    <row r="57" spans="1:9">
      <c r="A57" s="12" t="s">
        <v>55</v>
      </c>
      <c r="B57" s="12"/>
      <c r="C57" s="19">
        <f>C40*$B$54</f>
        <v>1892</v>
      </c>
      <c r="D57" s="7" t="s">
        <v>32</v>
      </c>
      <c r="E57" s="7"/>
      <c r="F57" s="7"/>
      <c r="G57" s="7"/>
      <c r="H57" s="7"/>
      <c r="I57" s="7"/>
    </row>
    <row r="58" spans="1:9">
      <c r="A58" s="12" t="s">
        <v>52</v>
      </c>
      <c r="B58" s="12"/>
      <c r="C58" s="19">
        <f>C41*$B$54</f>
        <v>2452</v>
      </c>
      <c r="D58" s="7" t="s">
        <v>32</v>
      </c>
      <c r="E58" s="7"/>
      <c r="F58" s="7"/>
      <c r="G58" s="7"/>
      <c r="H58" s="7"/>
      <c r="I58" s="7"/>
    </row>
    <row r="59" spans="1:9">
      <c r="A59" s="12" t="s">
        <v>53</v>
      </c>
      <c r="B59" s="12"/>
      <c r="C59" s="19">
        <f>C43*$B$54</f>
        <v>3360</v>
      </c>
      <c r="D59" s="7" t="s">
        <v>32</v>
      </c>
      <c r="E59" s="7"/>
      <c r="F59" s="7"/>
      <c r="G59" s="7"/>
      <c r="H59" s="7"/>
      <c r="I59" s="7"/>
    </row>
    <row r="60" spans="1:9">
      <c r="A60" s="17" t="s">
        <v>57</v>
      </c>
      <c r="B60" s="17">
        <v>5</v>
      </c>
      <c r="C60" s="6"/>
      <c r="D60" s="7"/>
      <c r="E60" s="7"/>
      <c r="F60" s="7"/>
      <c r="G60" s="7"/>
      <c r="H60" s="7"/>
      <c r="I60" s="7"/>
    </row>
    <row r="61" spans="1:9">
      <c r="A61" s="12" t="s">
        <v>52</v>
      </c>
      <c r="B61" s="12"/>
      <c r="C61" s="19">
        <f>C41*$B$60</f>
        <v>3065</v>
      </c>
      <c r="D61" s="7" t="s">
        <v>32</v>
      </c>
      <c r="E61" s="7"/>
      <c r="F61" s="7"/>
      <c r="G61" s="7"/>
      <c r="H61" s="7"/>
      <c r="I61" s="7"/>
    </row>
    <row r="62" spans="1:9">
      <c r="A62" s="12" t="s">
        <v>53</v>
      </c>
      <c r="B62" s="12"/>
      <c r="C62" s="19">
        <f>C43*$B$60</f>
        <v>4200</v>
      </c>
      <c r="D62" s="7" t="s">
        <v>32</v>
      </c>
      <c r="E62" s="7"/>
      <c r="F62" s="7"/>
      <c r="G62" s="7"/>
      <c r="H62" s="7"/>
      <c r="I62" s="7"/>
    </row>
    <row r="63" spans="1:9">
      <c r="C63" s="273" t="s">
        <v>314</v>
      </c>
      <c r="D63" s="273"/>
    </row>
    <row r="64" spans="1:9">
      <c r="C64" s="273"/>
      <c r="D64" s="273"/>
    </row>
    <row r="66" spans="1:13">
      <c r="A66" s="20" t="s">
        <v>58</v>
      </c>
      <c r="B66" s="20"/>
      <c r="C66" s="21" t="s">
        <v>238</v>
      </c>
      <c r="D66" s="21" t="s">
        <v>59</v>
      </c>
      <c r="E66" s="21" t="s">
        <v>239</v>
      </c>
      <c r="F66" s="21" t="s">
        <v>59</v>
      </c>
      <c r="G66" s="8"/>
      <c r="H66" s="8"/>
    </row>
    <row r="67" spans="1:13">
      <c r="A67" s="22" t="s">
        <v>340</v>
      </c>
      <c r="B67" s="22"/>
      <c r="C67" s="265">
        <f ca="1">+C95</f>
        <v>106.34000000000002</v>
      </c>
      <c r="D67" s="24">
        <f ca="1">C67/2000</f>
        <v>5.3170000000000009E-2</v>
      </c>
      <c r="E67" s="265">
        <f ca="1">+B95</f>
        <v>94.460000000000008</v>
      </c>
      <c r="F67" s="24">
        <f ca="1">E67/2000</f>
        <v>4.7230000000000001E-2</v>
      </c>
    </row>
    <row r="68" spans="1:13">
      <c r="A68" s="22" t="s">
        <v>341</v>
      </c>
      <c r="B68" s="22"/>
      <c r="C68" s="215">
        <f ca="1">H91</f>
        <v>111.94000000000001</v>
      </c>
      <c r="D68" s="144">
        <f ca="1">C68/2000</f>
        <v>5.5970000000000006E-2</v>
      </c>
      <c r="E68" s="215">
        <f ca="1">G91</f>
        <v>99.43</v>
      </c>
      <c r="F68" s="26">
        <f ca="1">E68/2000</f>
        <v>4.9715000000000002E-2</v>
      </c>
      <c r="G68" s="14"/>
      <c r="M68" s="33"/>
    </row>
    <row r="69" spans="1:13">
      <c r="A69" s="12" t="s">
        <v>63</v>
      </c>
      <c r="B69" s="12"/>
      <c r="C69" s="23">
        <f ca="1">C68-C67</f>
        <v>5.5999999999999943</v>
      </c>
      <c r="D69" s="27">
        <f ca="1">D68-D67</f>
        <v>2.7999999999999969E-3</v>
      </c>
      <c r="E69" s="23">
        <f ca="1">E68-E67</f>
        <v>4.9699999999999989</v>
      </c>
      <c r="F69" s="27">
        <f ca="1">F68-F67</f>
        <v>2.4850000000000011E-3</v>
      </c>
    </row>
    <row r="70" spans="1:13">
      <c r="C70" s="29">
        <f ca="1">C69/C67</f>
        <v>5.2661275155162626E-2</v>
      </c>
      <c r="D70" s="30"/>
      <c r="E70" s="29">
        <f ca="1">E69/E67</f>
        <v>5.2614863434257871E-2</v>
      </c>
      <c r="F70" s="29"/>
      <c r="L70" s="32"/>
    </row>
    <row r="72" spans="1:13">
      <c r="A72" s="8"/>
      <c r="B72" s="8"/>
      <c r="C72" s="21" t="s">
        <v>65</v>
      </c>
      <c r="E72" s="272" t="s">
        <v>60</v>
      </c>
      <c r="F72" s="272"/>
    </row>
    <row r="73" spans="1:13">
      <c r="A73" s="3" t="s">
        <v>66</v>
      </c>
      <c r="C73" s="33">
        <f ca="1">C69</f>
        <v>5.5999999999999943</v>
      </c>
      <c r="E73" s="3" t="s">
        <v>61</v>
      </c>
      <c r="F73" s="25">
        <f>0.0175</f>
        <v>1.7500000000000002E-2</v>
      </c>
    </row>
    <row r="74" spans="1:13">
      <c r="A74" s="3" t="s">
        <v>337</v>
      </c>
      <c r="C74" s="35">
        <f ca="1">C73/$F$78</f>
        <v>5.7294863924698118</v>
      </c>
      <c r="D74" s="33"/>
      <c r="E74" s="3" t="s">
        <v>62</v>
      </c>
      <c r="F74" s="260">
        <v>5.1000000000000004E-3</v>
      </c>
    </row>
    <row r="75" spans="1:13">
      <c r="A75" s="8" t="s">
        <v>338</v>
      </c>
      <c r="B75" s="8"/>
      <c r="C75" s="80">
        <f>+'Regulated DF Calc'!H113</f>
        <v>83053.402324556257</v>
      </c>
      <c r="E75" s="3" t="s">
        <v>339</v>
      </c>
      <c r="F75" s="28"/>
    </row>
    <row r="76" spans="1:13">
      <c r="A76" s="1" t="s">
        <v>68</v>
      </c>
      <c r="B76" s="1"/>
      <c r="C76" s="36">
        <f ca="1">C74*C75</f>
        <v>475853.33846686571</v>
      </c>
      <c r="E76" s="3" t="s">
        <v>64</v>
      </c>
      <c r="F76" s="31">
        <f>SUM(F73:F75)</f>
        <v>2.2600000000000002E-2</v>
      </c>
    </row>
    <row r="78" spans="1:13">
      <c r="E78" s="3" t="s">
        <v>67</v>
      </c>
      <c r="F78" s="34">
        <f>1-F76</f>
        <v>0.97740000000000005</v>
      </c>
    </row>
    <row r="79" spans="1:13">
      <c r="A79" s="1"/>
      <c r="B79" s="1"/>
      <c r="C79" s="37"/>
      <c r="G79" s="33"/>
    </row>
    <row r="80" spans="1:13">
      <c r="A80" s="1" t="s">
        <v>366</v>
      </c>
    </row>
    <row r="81" spans="1:9">
      <c r="A81" s="156">
        <v>2023</v>
      </c>
      <c r="B81" s="156"/>
      <c r="C81" s="154"/>
      <c r="F81" s="156">
        <v>2024</v>
      </c>
      <c r="G81" s="154"/>
      <c r="H81" s="154"/>
    </row>
    <row r="82" spans="1:9">
      <c r="A82" s="4"/>
      <c r="B82" s="155" t="s">
        <v>282</v>
      </c>
      <c r="C82" s="155" t="s">
        <v>359</v>
      </c>
      <c r="F82" s="4"/>
      <c r="G82" s="155" t="s">
        <v>282</v>
      </c>
      <c r="H82" s="155" t="s">
        <v>359</v>
      </c>
    </row>
    <row r="83" spans="1:9">
      <c r="A83" s="3" t="s">
        <v>358</v>
      </c>
      <c r="B83" s="5">
        <v>83.52</v>
      </c>
      <c r="C83" s="5">
        <v>94.25</v>
      </c>
      <c r="F83" s="3" t="s">
        <v>450</v>
      </c>
      <c r="G83" s="5">
        <f ca="1">+B95-B90-B89-B87-B94</f>
        <v>92.52</v>
      </c>
      <c r="H83" s="5">
        <f ca="1">+C95-C90-C89-C87-C94</f>
        <v>104.4</v>
      </c>
    </row>
    <row r="84" spans="1:9">
      <c r="A84" s="3" t="s">
        <v>360</v>
      </c>
      <c r="B84" s="261">
        <v>1.31</v>
      </c>
      <c r="C84" s="261">
        <v>1.47</v>
      </c>
      <c r="F84" s="3" t="s">
        <v>376</v>
      </c>
      <c r="G84" s="263">
        <v>4.97</v>
      </c>
      <c r="H84" s="263">
        <v>5.6</v>
      </c>
    </row>
    <row r="85" spans="1:9">
      <c r="A85" s="3" t="s">
        <v>367</v>
      </c>
      <c r="B85" s="5">
        <f>+B83+B84</f>
        <v>84.83</v>
      </c>
      <c r="C85" s="5">
        <f>+C83+C84</f>
        <v>95.72</v>
      </c>
      <c r="F85" s="3" t="s">
        <v>377</v>
      </c>
      <c r="G85" s="264">
        <f ca="1">+G84+G83</f>
        <v>97.49</v>
      </c>
      <c r="H85" s="264">
        <f ca="1">+H84+H83</f>
        <v>110</v>
      </c>
    </row>
    <row r="86" spans="1:9">
      <c r="A86" s="3" t="s">
        <v>361</v>
      </c>
      <c r="B86" s="5">
        <v>2.09</v>
      </c>
      <c r="C86" s="5">
        <v>2.36</v>
      </c>
      <c r="F86" s="3" t="s">
        <v>362</v>
      </c>
      <c r="G86" s="263">
        <v>1.43</v>
      </c>
      <c r="H86" s="263">
        <v>1.43</v>
      </c>
    </row>
    <row r="87" spans="1:9">
      <c r="A87" s="3" t="s">
        <v>362</v>
      </c>
      <c r="B87" s="261">
        <v>1.43</v>
      </c>
      <c r="C87" s="261">
        <v>1.43</v>
      </c>
      <c r="G87" s="264">
        <f ca="1">+G85+G86</f>
        <v>98.92</v>
      </c>
      <c r="H87" s="264">
        <f ca="1">+H85+H86</f>
        <v>111.43</v>
      </c>
      <c r="I87" s="3" t="s">
        <v>445</v>
      </c>
    </row>
    <row r="88" spans="1:9">
      <c r="A88" s="3" t="s">
        <v>369</v>
      </c>
      <c r="B88" s="5">
        <f>+SUM(B85:B87)</f>
        <v>88.350000000000009</v>
      </c>
      <c r="C88" s="5">
        <f>+SUM(C85:C87)</f>
        <v>99.51</v>
      </c>
      <c r="D88" s="3" t="s">
        <v>363</v>
      </c>
      <c r="F88" s="3" t="s">
        <v>378</v>
      </c>
      <c r="G88" s="264">
        <v>0.06</v>
      </c>
      <c r="H88" s="264">
        <v>0.06</v>
      </c>
      <c r="I88" s="3" t="s">
        <v>445</v>
      </c>
    </row>
    <row r="89" spans="1:9">
      <c r="A89" s="3" t="s">
        <v>364</v>
      </c>
      <c r="B89" s="5">
        <v>0.06</v>
      </c>
      <c r="C89" s="5">
        <v>0.06</v>
      </c>
      <c r="F89" s="3" t="s">
        <v>379</v>
      </c>
      <c r="G89" s="264">
        <v>0.31</v>
      </c>
      <c r="H89" s="264">
        <v>0.31</v>
      </c>
      <c r="I89" s="3" t="s">
        <v>445</v>
      </c>
    </row>
    <row r="90" spans="1:9">
      <c r="A90" s="3" t="s">
        <v>365</v>
      </c>
      <c r="B90" s="261">
        <v>0.31</v>
      </c>
      <c r="C90" s="261">
        <v>0.31</v>
      </c>
      <c r="F90" s="3" t="s">
        <v>372</v>
      </c>
      <c r="G90" s="263">
        <v>0.14000000000000001</v>
      </c>
      <c r="H90" s="263">
        <v>0.14000000000000001</v>
      </c>
      <c r="I90" s="3" t="s">
        <v>445</v>
      </c>
    </row>
    <row r="91" spans="1:9">
      <c r="A91" s="3" t="s">
        <v>368</v>
      </c>
      <c r="B91" s="262">
        <f ca="1">SUM(B88:OFFSET(B91,-1,0))</f>
        <v>88.720000000000013</v>
      </c>
      <c r="C91" s="262">
        <f ca="1">SUM(C88:OFFSET(C91,-1,0))</f>
        <v>99.88000000000001</v>
      </c>
      <c r="D91" s="3" t="s">
        <v>363</v>
      </c>
      <c r="F91" s="3" t="s">
        <v>446</v>
      </c>
      <c r="G91" s="264">
        <f ca="1">SUM(G87:G90)</f>
        <v>99.43</v>
      </c>
      <c r="H91" s="264">
        <f ca="1">SUM(H87:H90)</f>
        <v>111.94000000000001</v>
      </c>
    </row>
    <row r="92" spans="1:9">
      <c r="A92" s="3" t="s">
        <v>376</v>
      </c>
      <c r="B92" s="261">
        <v>5.6</v>
      </c>
      <c r="C92" s="261">
        <v>6.32</v>
      </c>
      <c r="G92" s="153"/>
      <c r="H92" s="153"/>
    </row>
    <row r="93" spans="1:9">
      <c r="A93" s="3" t="s">
        <v>448</v>
      </c>
      <c r="B93" s="5">
        <f ca="1">+B91+B92</f>
        <v>94.320000000000007</v>
      </c>
      <c r="C93" s="5">
        <f ca="1">+C91+C92</f>
        <v>106.20000000000002</v>
      </c>
      <c r="G93" s="7"/>
      <c r="H93" s="7"/>
    </row>
    <row r="94" spans="1:9">
      <c r="A94" s="3" t="s">
        <v>449</v>
      </c>
      <c r="B94" s="261">
        <v>0.14000000000000001</v>
      </c>
      <c r="C94" s="261">
        <v>0.14000000000000001</v>
      </c>
    </row>
    <row r="95" spans="1:9">
      <c r="A95" s="3" t="s">
        <v>447</v>
      </c>
      <c r="B95" s="5">
        <f ca="1">+B93+B94</f>
        <v>94.460000000000008</v>
      </c>
      <c r="C95" s="5">
        <f ca="1">+C93+C94</f>
        <v>106.34000000000002</v>
      </c>
    </row>
    <row r="96" spans="1:9">
      <c r="B96" s="5"/>
      <c r="C96" s="5"/>
    </row>
    <row r="97" spans="2:3">
      <c r="B97" s="5">
        <f ca="1">+B95-B87-B89-B90-B94</f>
        <v>92.52</v>
      </c>
      <c r="C97" s="5">
        <f ca="1">+C95-C87-C89-C90-C94</f>
        <v>104.4</v>
      </c>
    </row>
  </sheetData>
  <mergeCells count="5">
    <mergeCell ref="A4:I4"/>
    <mergeCell ref="A6:I6"/>
    <mergeCell ref="A17:C17"/>
    <mergeCell ref="E72:F72"/>
    <mergeCell ref="C63:D64"/>
  </mergeCells>
  <pageMargins left="0.7" right="0.7" top="0.75" bottom="0.75" header="0.3" footer="0.3"/>
  <pageSetup scale="58" orientation="portrait" r:id="rId1"/>
  <headerFooter>
    <oddFooter xml:space="preserve">&amp;L&amp;F - &amp;A
&amp;R&amp;P of &amp;N
</oddFooter>
  </headerFooter>
  <rowBreaks count="1" manualBreakCount="1">
    <brk id="65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42"/>
  <sheetViews>
    <sheetView showGridLines="0" topLeftCell="A4" zoomScale="130" zoomScaleNormal="130" zoomScaleSheetLayoutView="100" workbookViewId="0">
      <pane xSplit="3" ySplit="2" topLeftCell="G108" activePane="bottomRight" state="frozen"/>
      <selection activeCell="K25" sqref="K25"/>
      <selection pane="topRight" activeCell="K25" sqref="K25"/>
      <selection pane="bottomLeft" activeCell="K25" sqref="K25"/>
      <selection pane="bottomRight" activeCell="I126" sqref="I126"/>
    </sheetView>
  </sheetViews>
  <sheetFormatPr defaultColWidth="9.109375" defaultRowHeight="13.5" customHeight="1" outlineLevelCol="1"/>
  <cols>
    <col min="1" max="1" width="11.109375" style="104" customWidth="1"/>
    <col min="2" max="2" width="25.88671875" style="104" customWidth="1"/>
    <col min="3" max="3" width="2.5546875" style="85" customWidth="1"/>
    <col min="4" max="4" width="2.6640625" style="85" customWidth="1" outlineLevel="1"/>
    <col min="5" max="5" width="14.6640625" style="85" customWidth="1" outlineLevel="1"/>
    <col min="6" max="6" width="2.6640625" style="85" customWidth="1" outlineLevel="1"/>
    <col min="7" max="7" width="16.44140625" style="85" bestFit="1" customWidth="1"/>
    <col min="8" max="13" width="14.6640625" style="85" customWidth="1" outlineLevel="1"/>
    <col min="14" max="14" width="22" style="85" bestFit="1" customWidth="1"/>
    <col min="15" max="22" width="14.6640625" style="85" customWidth="1"/>
    <col min="23" max="16384" width="9.109375" style="85"/>
  </cols>
  <sheetData>
    <row r="1" spans="1:23" ht="13.5" customHeight="1">
      <c r="A1" s="81" t="s">
        <v>348</v>
      </c>
      <c r="B1" s="82"/>
      <c r="C1" s="83"/>
      <c r="D1" s="276"/>
      <c r="E1" s="276"/>
      <c r="F1" s="276"/>
      <c r="G1" s="276"/>
      <c r="H1" s="276"/>
      <c r="I1" s="276"/>
      <c r="J1" s="276"/>
      <c r="K1" s="277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3" ht="13.5" customHeight="1" thickBot="1">
      <c r="A2" s="81" t="s">
        <v>310</v>
      </c>
      <c r="B2" s="82"/>
      <c r="C2" s="83"/>
      <c r="D2" s="278"/>
      <c r="E2" s="278"/>
      <c r="F2" s="278"/>
      <c r="G2" s="278"/>
      <c r="H2" s="278"/>
      <c r="I2" s="278"/>
      <c r="J2" s="278"/>
      <c r="K2" s="279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3" ht="13.5" customHeight="1">
      <c r="A3" s="152" t="s">
        <v>434</v>
      </c>
      <c r="B3" s="15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3" ht="14.4">
      <c r="A4" s="274"/>
      <c r="B4" s="274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3" s="137" customFormat="1" ht="39.75" customHeight="1">
      <c r="A5" s="133"/>
      <c r="B5" s="134"/>
      <c r="C5" s="135"/>
      <c r="D5" s="136"/>
      <c r="E5" s="150" t="s">
        <v>416</v>
      </c>
      <c r="F5" s="136"/>
      <c r="G5" s="87" t="s">
        <v>70</v>
      </c>
      <c r="H5" s="87" t="s">
        <v>71</v>
      </c>
      <c r="I5" s="87" t="s">
        <v>17</v>
      </c>
      <c r="J5" s="87" t="s">
        <v>72</v>
      </c>
      <c r="K5" s="87" t="s">
        <v>73</v>
      </c>
      <c r="L5" s="87" t="s">
        <v>63</v>
      </c>
      <c r="M5" s="87" t="s">
        <v>271</v>
      </c>
      <c r="N5" s="87" t="s">
        <v>272</v>
      </c>
      <c r="O5" s="150" t="s">
        <v>343</v>
      </c>
      <c r="P5" s="87" t="s">
        <v>275</v>
      </c>
      <c r="Q5" s="150" t="s">
        <v>344</v>
      </c>
      <c r="R5" s="87" t="s">
        <v>336</v>
      </c>
      <c r="S5" s="87" t="s">
        <v>342</v>
      </c>
      <c r="T5" s="87" t="s">
        <v>278</v>
      </c>
      <c r="U5" s="136"/>
      <c r="V5" s="136"/>
    </row>
    <row r="6" spans="1:23" ht="9" customHeight="1">
      <c r="A6" s="88"/>
      <c r="B6" s="89"/>
      <c r="E6" s="90"/>
      <c r="G6" s="91"/>
      <c r="H6" s="91"/>
      <c r="I6" s="91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3" ht="13.5" customHeight="1">
      <c r="A7" s="92" t="s">
        <v>74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1:23" ht="13.5" customHeight="1">
      <c r="A8" s="88"/>
      <c r="B8" s="89"/>
      <c r="N8" s="266"/>
    </row>
    <row r="9" spans="1:23" ht="13.5" customHeight="1">
      <c r="A9" s="94" t="s">
        <v>75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</row>
    <row r="10" spans="1:23" s="83" customFormat="1" ht="13.5" customHeight="1">
      <c r="A10" s="95" t="s">
        <v>76</v>
      </c>
      <c r="B10" s="95" t="s">
        <v>77</v>
      </c>
      <c r="D10" s="108"/>
      <c r="E10" s="110">
        <v>147</v>
      </c>
      <c r="G10" s="97">
        <f>+References!C13</f>
        <v>2.17</v>
      </c>
      <c r="H10" s="98">
        <f>+E10*G10*12</f>
        <v>3827.88</v>
      </c>
      <c r="I10" s="235">
        <f>+References!C19</f>
        <v>20</v>
      </c>
      <c r="J10" s="84">
        <f>+H10*I10</f>
        <v>76557.600000000006</v>
      </c>
      <c r="K10" s="84">
        <f t="shared" ref="K10:K30" si="0">+J10*$H$115</f>
        <v>58049.338549643857</v>
      </c>
      <c r="L10" s="96">
        <f ca="1">+K10*References!$D$69</f>
        <v>162.53814793900261</v>
      </c>
      <c r="M10" s="96">
        <f ca="1">+L10/References!$F$78</f>
        <v>166.29644765602885</v>
      </c>
      <c r="N10" s="109">
        <f ca="1">IFERROR(+M10/H10,)*G10</f>
        <v>9.427236261679639E-2</v>
      </c>
      <c r="O10" s="237">
        <f>+'Proposed Rates'!B13</f>
        <v>9.0487499040186616</v>
      </c>
      <c r="P10" s="109">
        <f t="shared" ref="P10:P28" ca="1" si="1">+O10+N10</f>
        <v>9.1430222666354588</v>
      </c>
      <c r="Q10" s="109">
        <f ca="1">+'Proposed Rates'!G13</f>
        <v>9.1430222666354588</v>
      </c>
      <c r="R10" s="109">
        <f>+E10*O10*12</f>
        <v>15961.99483068892</v>
      </c>
      <c r="S10" s="109">
        <f ca="1">+E10*P10*12</f>
        <v>16128.29127834495</v>
      </c>
      <c r="T10" s="109">
        <f t="shared" ref="T10:T28" ca="1" si="2">+S10-R10</f>
        <v>166.29644765603007</v>
      </c>
      <c r="U10" s="108"/>
      <c r="V10" s="111">
        <f ca="1">((I10*$H$115)*(References!$D$69/References!$F$78))*'Regulated DF Calc'!G10</f>
        <v>9.4272362616796404E-2</v>
      </c>
      <c r="W10" s="143">
        <f ca="1">N10-V10</f>
        <v>0</v>
      </c>
    </row>
    <row r="11" spans="1:23" s="83" customFormat="1" ht="13.5" customHeight="1">
      <c r="A11" s="95" t="s">
        <v>78</v>
      </c>
      <c r="B11" s="95" t="s">
        <v>79</v>
      </c>
      <c r="D11" s="108"/>
      <c r="E11" s="110">
        <v>567</v>
      </c>
      <c r="G11" s="97">
        <f>+References!C12</f>
        <v>4.33</v>
      </c>
      <c r="H11" s="98">
        <f t="shared" ref="H11:H23" si="3">+E11*G11*12</f>
        <v>29461.32</v>
      </c>
      <c r="I11" s="235">
        <f>+References!C19</f>
        <v>20</v>
      </c>
      <c r="J11" s="84">
        <f t="shared" ref="J11:J28" si="4">+H11*I11</f>
        <v>589226.4</v>
      </c>
      <c r="K11" s="84">
        <f t="shared" si="0"/>
        <v>446777.36470301932</v>
      </c>
      <c r="L11" s="96">
        <f ca="1">+K11*References!$D$69</f>
        <v>1250.9766211684528</v>
      </c>
      <c r="M11" s="96">
        <f ca="1">+L11/References!$F$78</f>
        <v>1279.9024157647357</v>
      </c>
      <c r="N11" s="109">
        <f t="shared" ref="N11:N30" ca="1" si="5">IFERROR(+M11/H11,)*G11</f>
        <v>0.18811029038282417</v>
      </c>
      <c r="O11" s="237">
        <f>+'Proposed Rates'!B12</f>
        <v>12.216998656405901</v>
      </c>
      <c r="P11" s="109">
        <f t="shared" ca="1" si="1"/>
        <v>12.405108946788724</v>
      </c>
      <c r="Q11" s="109">
        <f ca="1">+'Proposed Rates'!G12</f>
        <v>12.405108946788724</v>
      </c>
      <c r="R11" s="109">
        <f t="shared" ref="R11:R23" si="6">+E11*O11*12</f>
        <v>83124.458858185739</v>
      </c>
      <c r="S11" s="109">
        <f t="shared" ref="S11:S23" ca="1" si="7">+E11*P11*12</f>
        <v>84404.361273950475</v>
      </c>
      <c r="T11" s="109">
        <f t="shared" ca="1" si="2"/>
        <v>1279.9024157647364</v>
      </c>
      <c r="U11" s="109" t="str">
        <f t="shared" ref="U11:U80" ca="1" si="8">IF(P11=Q11," ","Difference between Calculated Rate and Proposed Tariff")</f>
        <v xml:space="preserve"> </v>
      </c>
      <c r="V11" s="111">
        <f ca="1">((I11*$H$115)*(References!$D$69/References!$F$78))*'Regulated DF Calc'!G11</f>
        <v>0.18811029038282417</v>
      </c>
      <c r="W11" s="143">
        <f t="shared" ref="W11:W29" ca="1" si="9">N11-V11</f>
        <v>0</v>
      </c>
    </row>
    <row r="12" spans="1:23" s="83" customFormat="1" ht="13.5" customHeight="1">
      <c r="A12" s="95" t="s">
        <v>80</v>
      </c>
      <c r="B12" s="95" t="s">
        <v>81</v>
      </c>
      <c r="D12" s="108"/>
      <c r="E12" s="110">
        <v>8093</v>
      </c>
      <c r="G12" s="97">
        <f>+References!C13</f>
        <v>2.17</v>
      </c>
      <c r="H12" s="98">
        <f t="shared" si="3"/>
        <v>210741.71999999997</v>
      </c>
      <c r="I12" s="235">
        <f>+References!C20</f>
        <v>34</v>
      </c>
      <c r="J12" s="84">
        <f t="shared" si="4"/>
        <v>7165218.4799999986</v>
      </c>
      <c r="K12" s="84">
        <f t="shared" si="0"/>
        <v>5432983.7054411899</v>
      </c>
      <c r="L12" s="96">
        <f ca="1">+K12*References!$D$69</f>
        <v>15212.354375235314</v>
      </c>
      <c r="M12" s="96">
        <f ca="1">+L12/References!$F$78</f>
        <v>15564.103105417755</v>
      </c>
      <c r="N12" s="109">
        <f t="shared" ca="1" si="5"/>
        <v>0.16026301644855384</v>
      </c>
      <c r="O12" s="237">
        <f>+'Proposed Rates'!B25</f>
        <v>10.524874836831724</v>
      </c>
      <c r="P12" s="109">
        <f t="shared" ca="1" si="1"/>
        <v>10.685137853280278</v>
      </c>
      <c r="Q12" s="109">
        <f ca="1">+'Proposed Rates'!G25</f>
        <v>10.685137853280278</v>
      </c>
      <c r="R12" s="109">
        <f t="shared" si="6"/>
        <v>1022133.7446537497</v>
      </c>
      <c r="S12" s="109">
        <f t="shared" ca="1" si="7"/>
        <v>1037697.8477591674</v>
      </c>
      <c r="T12" s="109">
        <f t="shared" ca="1" si="2"/>
        <v>15564.103105417686</v>
      </c>
      <c r="U12" s="109" t="str">
        <f t="shared" ca="1" si="8"/>
        <v xml:space="preserve"> </v>
      </c>
      <c r="V12" s="111">
        <f ca="1">((I12*$H$115)*(References!$D$69/References!$F$78))*'Regulated DF Calc'!G12</f>
        <v>0.16026301644855387</v>
      </c>
      <c r="W12" s="143">
        <f t="shared" ca="1" si="9"/>
        <v>0</v>
      </c>
    </row>
    <row r="13" spans="1:23" s="83" customFormat="1" ht="13.5" customHeight="1">
      <c r="A13" s="95" t="s">
        <v>82</v>
      </c>
      <c r="B13" s="95" t="s">
        <v>83</v>
      </c>
      <c r="D13" s="108"/>
      <c r="E13" s="110">
        <v>1232</v>
      </c>
      <c r="G13" s="97">
        <f>+References!C14</f>
        <v>1</v>
      </c>
      <c r="H13" s="98">
        <f t="shared" si="3"/>
        <v>14784</v>
      </c>
      <c r="I13" s="235">
        <f>+References!C20</f>
        <v>34</v>
      </c>
      <c r="J13" s="84">
        <f t="shared" si="4"/>
        <v>502656</v>
      </c>
      <c r="K13" s="84">
        <f t="shared" si="0"/>
        <v>381135.88093160943</v>
      </c>
      <c r="L13" s="96">
        <f ca="1">+K13*References!$D$69</f>
        <v>1067.1804666085052</v>
      </c>
      <c r="M13" s="96">
        <f ca="1">+L13/References!$F$78</f>
        <v>1091.8564217398252</v>
      </c>
      <c r="N13" s="109">
        <f t="shared" ca="1" si="5"/>
        <v>7.3853924630670004E-2</v>
      </c>
      <c r="O13" s="237">
        <f>+'Proposed Rates'!B24</f>
        <v>5.6651957773418085</v>
      </c>
      <c r="P13" s="109">
        <f t="shared" ca="1" si="1"/>
        <v>5.7390497019724789</v>
      </c>
      <c r="Q13" s="109">
        <f ca="1">+'Proposed Rates'!G24</f>
        <v>5.7390497019724789</v>
      </c>
      <c r="R13" s="109">
        <f t="shared" si="6"/>
        <v>83754.254372221301</v>
      </c>
      <c r="S13" s="109">
        <f t="shared" ca="1" si="7"/>
        <v>84846.110793961125</v>
      </c>
      <c r="T13" s="109">
        <f t="shared" ca="1" si="2"/>
        <v>1091.8564217398234</v>
      </c>
      <c r="U13" s="109"/>
      <c r="V13" s="111">
        <f ca="1">((I13*$H$115)*(References!$D$69/References!$F$78))*'Regulated DF Calc'!G13</f>
        <v>7.385392463066999E-2</v>
      </c>
      <c r="W13" s="143">
        <f ca="1">N13-V13</f>
        <v>0</v>
      </c>
    </row>
    <row r="14" spans="1:23" s="83" customFormat="1" ht="13.5" customHeight="1">
      <c r="A14" s="95" t="s">
        <v>84</v>
      </c>
      <c r="B14" s="95" t="s">
        <v>85</v>
      </c>
      <c r="D14" s="108"/>
      <c r="E14" s="110">
        <v>48401</v>
      </c>
      <c r="G14" s="97">
        <f>+References!C12</f>
        <v>4.33</v>
      </c>
      <c r="H14" s="98">
        <f t="shared" si="3"/>
        <v>2514915.96</v>
      </c>
      <c r="I14" s="235">
        <f>+References!C20</f>
        <v>34</v>
      </c>
      <c r="J14" s="84">
        <f t="shared" si="4"/>
        <v>85507142.640000001</v>
      </c>
      <c r="K14" s="84">
        <f t="shared" si="0"/>
        <v>64835275.289743252</v>
      </c>
      <c r="L14" s="96">
        <f ca="1">+K14*References!$D$69</f>
        <v>181538.77081128091</v>
      </c>
      <c r="M14" s="96">
        <f ca="1">+L14/References!$F$78</f>
        <v>185736.41376230909</v>
      </c>
      <c r="N14" s="109">
        <f t="shared" ca="1" si="5"/>
        <v>0.31978749365080111</v>
      </c>
      <c r="O14" s="237">
        <f>+'Proposed Rates'!B14</f>
        <v>15.808897715890032</v>
      </c>
      <c r="P14" s="109">
        <f t="shared" ca="1" si="1"/>
        <v>16.128685209540834</v>
      </c>
      <c r="Q14" s="109">
        <f ca="1">+'Proposed Rates'!G14</f>
        <v>16.128685209540834</v>
      </c>
      <c r="R14" s="109">
        <f t="shared" si="6"/>
        <v>9181997.5001615211</v>
      </c>
      <c r="S14" s="109">
        <f t="shared" ca="1" si="7"/>
        <v>9367733.9139238298</v>
      </c>
      <c r="T14" s="109">
        <f t="shared" ca="1" si="2"/>
        <v>185736.41376230866</v>
      </c>
      <c r="U14" s="109" t="str">
        <f t="shared" ca="1" si="8"/>
        <v xml:space="preserve"> </v>
      </c>
      <c r="V14" s="111">
        <f ca="1">((I14*$H$115)*(References!$D$69/References!$F$78))*'Regulated DF Calc'!G14</f>
        <v>0.31978749365080106</v>
      </c>
      <c r="W14" s="143">
        <f t="shared" ca="1" si="9"/>
        <v>0</v>
      </c>
    </row>
    <row r="15" spans="1:23" s="108" customFormat="1" ht="13.5" customHeight="1">
      <c r="A15" s="107" t="s">
        <v>296</v>
      </c>
      <c r="B15" s="107" t="s">
        <v>85</v>
      </c>
      <c r="E15" s="110">
        <f>INDEX([33]Regulated!$D:$D,MATCH(A15,[33]Regulated!$A:$A,0))</f>
        <v>1.172514619883041</v>
      </c>
      <c r="G15" s="111">
        <v>4.33</v>
      </c>
      <c r="H15" s="98">
        <f t="shared" si="3"/>
        <v>60.923859649122804</v>
      </c>
      <c r="I15" s="235">
        <f>+References!C20</f>
        <v>34</v>
      </c>
      <c r="J15" s="110">
        <f t="shared" ref="J15" si="10">+H15*I15</f>
        <v>2071.4112280701752</v>
      </c>
      <c r="K15" s="110">
        <f t="shared" si="0"/>
        <v>1570.6350728572884</v>
      </c>
      <c r="L15" s="109">
        <f ca="1">+K15*References!$D$69</f>
        <v>4.397778204000403</v>
      </c>
      <c r="M15" s="109">
        <f ca="1">+L15/References!$F$78</f>
        <v>4.4994661387358326</v>
      </c>
      <c r="N15" s="109">
        <f t="shared" ca="1" si="5"/>
        <v>0.31978749365080106</v>
      </c>
      <c r="O15" s="237">
        <f>+'Proposed Rates'!B14</f>
        <v>15.808897715890032</v>
      </c>
      <c r="P15" s="109">
        <f ca="1">+O15+N15</f>
        <v>16.128685209540834</v>
      </c>
      <c r="Q15" s="109">
        <f ca="1">+'Proposed Rates'!G14</f>
        <v>16.128685209540834</v>
      </c>
      <c r="R15" s="109">
        <f t="shared" si="6"/>
        <v>222.43396435340009</v>
      </c>
      <c r="S15" s="109">
        <f t="shared" ca="1" si="7"/>
        <v>226.93343049213593</v>
      </c>
      <c r="T15" s="109">
        <f t="shared" ref="T15" ca="1" si="11">+S15-R15</f>
        <v>4.4994661387358406</v>
      </c>
      <c r="U15" s="109" t="str">
        <f t="shared" ca="1" si="8"/>
        <v xml:space="preserve"> </v>
      </c>
      <c r="V15" s="111">
        <f ca="1">((I15*$H$115)*(References!$D$69/References!$F$78))*'Regulated DF Calc'!G15</f>
        <v>0.31978749365080106</v>
      </c>
      <c r="W15" s="143">
        <f t="shared" ca="1" si="9"/>
        <v>0</v>
      </c>
    </row>
    <row r="16" spans="1:23" s="83" customFormat="1" ht="13.5" customHeight="1">
      <c r="A16" s="95" t="s">
        <v>86</v>
      </c>
      <c r="B16" s="95" t="s">
        <v>87</v>
      </c>
      <c r="D16" s="108"/>
      <c r="E16" s="110">
        <v>13838</v>
      </c>
      <c r="G16" s="97">
        <f>+References!C12</f>
        <v>4.33</v>
      </c>
      <c r="H16" s="98">
        <f t="shared" si="3"/>
        <v>719022.48</v>
      </c>
      <c r="I16" s="235">
        <f>+References!C21</f>
        <v>51</v>
      </c>
      <c r="J16" s="84">
        <f t="shared" si="4"/>
        <v>36670146.479999997</v>
      </c>
      <c r="K16" s="84">
        <f t="shared" si="0"/>
        <v>27804917.44363134</v>
      </c>
      <c r="L16" s="96">
        <f ca="1">+K16*References!$D$69</f>
        <v>77853.768842167672</v>
      </c>
      <c r="M16" s="96">
        <f ca="1">+L16/References!$F$78</f>
        <v>79653.94806851614</v>
      </c>
      <c r="N16" s="109">
        <f t="shared" ca="1" si="5"/>
        <v>0.4796812404762017</v>
      </c>
      <c r="O16" s="237">
        <f>+'Proposed Rates'!B15</f>
        <v>23.043346573835045</v>
      </c>
      <c r="P16" s="109">
        <f t="shared" ca="1" si="1"/>
        <v>23.523027814311245</v>
      </c>
      <c r="Q16" s="109">
        <f ca="1">+'Proposed Rates'!G15</f>
        <v>23.523027814311245</v>
      </c>
      <c r="R16" s="109">
        <f t="shared" si="6"/>
        <v>3826485.9586647525</v>
      </c>
      <c r="S16" s="109">
        <f t="shared" ca="1" si="7"/>
        <v>3906139.9067332679</v>
      </c>
      <c r="T16" s="109">
        <f t="shared" ca="1" si="2"/>
        <v>79653.948068515398</v>
      </c>
      <c r="U16" s="109" t="str">
        <f t="shared" ca="1" si="8"/>
        <v xml:space="preserve"> </v>
      </c>
      <c r="V16" s="111">
        <f ca="1">((I16*$H$115)*(References!$D$69/References!$F$78))*'Regulated DF Calc'!G16</f>
        <v>0.47968124047620164</v>
      </c>
      <c r="W16" s="143">
        <f t="shared" ca="1" si="9"/>
        <v>0</v>
      </c>
    </row>
    <row r="17" spans="1:23" s="83" customFormat="1" ht="13.5" customHeight="1">
      <c r="A17" s="95" t="s">
        <v>88</v>
      </c>
      <c r="B17" s="95" t="s">
        <v>89</v>
      </c>
      <c r="D17" s="108"/>
      <c r="E17" s="110">
        <v>1320</v>
      </c>
      <c r="G17" s="97">
        <f>+References!C12</f>
        <v>4.33</v>
      </c>
      <c r="H17" s="98">
        <f t="shared" si="3"/>
        <v>68587.200000000012</v>
      </c>
      <c r="I17" s="235">
        <f>+References!C22</f>
        <v>77</v>
      </c>
      <c r="J17" s="84">
        <f t="shared" si="4"/>
        <v>5281214.4000000013</v>
      </c>
      <c r="K17" s="84">
        <f t="shared" si="0"/>
        <v>4004448.9725233591</v>
      </c>
      <c r="L17" s="96">
        <f ca="1">+K17*References!$D$69</f>
        <v>11212.457123065393</v>
      </c>
      <c r="M17" s="96">
        <f ca="1">+L17/References!$F$78</f>
        <v>11471.717948706151</v>
      </c>
      <c r="N17" s="109">
        <f t="shared" ca="1" si="5"/>
        <v>0.72422461797387316</v>
      </c>
      <c r="O17" s="237">
        <f>+'Proposed Rates'!B16</f>
        <v>34.195444827162717</v>
      </c>
      <c r="P17" s="109">
        <f t="shared" ca="1" si="1"/>
        <v>34.919669445136591</v>
      </c>
      <c r="Q17" s="109">
        <f ca="1">+'Proposed Rates'!G16</f>
        <v>34.919669445136591</v>
      </c>
      <c r="R17" s="109">
        <f t="shared" si="6"/>
        <v>541655.84606225742</v>
      </c>
      <c r="S17" s="109">
        <f t="shared" ca="1" si="7"/>
        <v>553127.56401096354</v>
      </c>
      <c r="T17" s="109">
        <f t="shared" ca="1" si="2"/>
        <v>11471.717948706122</v>
      </c>
      <c r="U17" s="109" t="str">
        <f t="shared" ca="1" si="8"/>
        <v xml:space="preserve"> </v>
      </c>
      <c r="V17" s="111">
        <f ca="1">((I17*$H$115)*(References!$D$69/References!$F$78))*'Regulated DF Calc'!G17</f>
        <v>0.72422461797387316</v>
      </c>
      <c r="W17" s="143">
        <f t="shared" ca="1" si="9"/>
        <v>0</v>
      </c>
    </row>
    <row r="18" spans="1:23" s="83" customFormat="1" ht="13.5" customHeight="1">
      <c r="A18" s="95" t="s">
        <v>90</v>
      </c>
      <c r="B18" s="95" t="s">
        <v>91</v>
      </c>
      <c r="D18" s="108"/>
      <c r="E18" s="110">
        <v>243</v>
      </c>
      <c r="G18" s="97">
        <f>+References!C12</f>
        <v>4.33</v>
      </c>
      <c r="H18" s="98">
        <f t="shared" si="3"/>
        <v>12626.28</v>
      </c>
      <c r="I18" s="235">
        <f>+References!C23</f>
        <v>97</v>
      </c>
      <c r="J18" s="84">
        <f t="shared" si="4"/>
        <v>1224749.1600000001</v>
      </c>
      <c r="K18" s="84">
        <f t="shared" si="0"/>
        <v>928658.66520413302</v>
      </c>
      <c r="L18" s="96">
        <f ca="1">+K18*References!$D$69</f>
        <v>2600.2442625715698</v>
      </c>
      <c r="M18" s="96">
        <f ca="1">+L18/References!$F$78</f>
        <v>2660.3685927681295</v>
      </c>
      <c r="N18" s="109">
        <f t="shared" ca="1" si="5"/>
        <v>0.91233490835669739</v>
      </c>
      <c r="O18" s="237">
        <f>+'Proposed Rates'!B17</f>
        <v>42.542443483568626</v>
      </c>
      <c r="P18" s="109">
        <f t="shared" ca="1" si="1"/>
        <v>43.454778391925323</v>
      </c>
      <c r="Q18" s="109">
        <f ca="1">+'Proposed Rates'!G17</f>
        <v>43.454778391925323</v>
      </c>
      <c r="R18" s="109">
        <f t="shared" si="6"/>
        <v>124053.7651980861</v>
      </c>
      <c r="S18" s="109">
        <f t="shared" ca="1" si="7"/>
        <v>126714.13379085423</v>
      </c>
      <c r="T18" s="109">
        <f t="shared" ca="1" si="2"/>
        <v>2660.3685927681363</v>
      </c>
      <c r="U18" s="109" t="str">
        <f t="shared" ca="1" si="8"/>
        <v xml:space="preserve"> </v>
      </c>
      <c r="V18" s="111">
        <f ca="1">((I18*$H$115)*(References!$D$69/References!$F$78))*'Regulated DF Calc'!G18</f>
        <v>0.91233490835669717</v>
      </c>
      <c r="W18" s="143">
        <f t="shared" ca="1" si="9"/>
        <v>0</v>
      </c>
    </row>
    <row r="19" spans="1:23" s="83" customFormat="1" ht="13.5" customHeight="1">
      <c r="A19" s="95" t="s">
        <v>92</v>
      </c>
      <c r="B19" s="95" t="s">
        <v>93</v>
      </c>
      <c r="D19" s="108"/>
      <c r="E19" s="110">
        <v>49</v>
      </c>
      <c r="G19" s="97">
        <f>+References!C12</f>
        <v>4.33</v>
      </c>
      <c r="H19" s="98">
        <f t="shared" si="3"/>
        <v>2546.04</v>
      </c>
      <c r="I19" s="235">
        <f>+References!C24</f>
        <v>117</v>
      </c>
      <c r="J19" s="84">
        <f t="shared" si="4"/>
        <v>297886.68</v>
      </c>
      <c r="K19" s="84">
        <f t="shared" si="0"/>
        <v>225870.77882208198</v>
      </c>
      <c r="L19" s="96">
        <f ca="1">+K19*References!$D$69</f>
        <v>632.43818070182886</v>
      </c>
      <c r="M19" s="96">
        <f ca="1">+L19/References!$F$78</f>
        <v>647.06177685883858</v>
      </c>
      <c r="N19" s="109">
        <f t="shared" ca="1" si="5"/>
        <v>1.1004451987395214</v>
      </c>
      <c r="O19" s="237">
        <f>+'Proposed Rates'!B18</f>
        <v>52.95944213997452</v>
      </c>
      <c r="P19" s="109">
        <f t="shared" ca="1" si="1"/>
        <v>54.059887338714042</v>
      </c>
      <c r="Q19" s="109">
        <f ca="1">+'Proposed Rates'!G18</f>
        <v>54.059887338714042</v>
      </c>
      <c r="R19" s="109">
        <f t="shared" si="6"/>
        <v>31140.151978305017</v>
      </c>
      <c r="S19" s="109">
        <f t="shared" ca="1" si="7"/>
        <v>31787.213755163859</v>
      </c>
      <c r="T19" s="109">
        <f t="shared" ca="1" si="2"/>
        <v>647.06177685884177</v>
      </c>
      <c r="U19" s="109" t="str">
        <f t="shared" ca="1" si="8"/>
        <v xml:space="preserve"> </v>
      </c>
      <c r="V19" s="111">
        <f ca="1">((I19*$H$115)*(References!$D$69/References!$F$78))*'Regulated DF Calc'!G19</f>
        <v>1.1004451987395214</v>
      </c>
      <c r="W19" s="143">
        <f t="shared" ca="1" si="9"/>
        <v>0</v>
      </c>
    </row>
    <row r="20" spans="1:23" s="83" customFormat="1" ht="13.5" customHeight="1">
      <c r="A20" s="95" t="s">
        <v>94</v>
      </c>
      <c r="B20" s="95" t="s">
        <v>95</v>
      </c>
      <c r="D20" s="108"/>
      <c r="E20" s="110">
        <v>22</v>
      </c>
      <c r="G20" s="97">
        <f>+References!C12</f>
        <v>4.33</v>
      </c>
      <c r="H20" s="98">
        <f t="shared" si="3"/>
        <v>1143.1200000000001</v>
      </c>
      <c r="I20" s="235">
        <f>+References!C25</f>
        <v>137</v>
      </c>
      <c r="J20" s="84">
        <f t="shared" si="4"/>
        <v>156607.44</v>
      </c>
      <c r="K20" s="84">
        <f t="shared" si="0"/>
        <v>118746.6470207143</v>
      </c>
      <c r="L20" s="96">
        <f ca="1">+K20*References!$D$69</f>
        <v>332.49061165799969</v>
      </c>
      <c r="M20" s="96">
        <f ca="1">+L20/References!$F$78</f>
        <v>340.17864912829924</v>
      </c>
      <c r="N20" s="109">
        <f t="shared" ca="1" si="5"/>
        <v>1.2885554891223454</v>
      </c>
      <c r="O20" s="237">
        <f>+'Proposed Rates'!B19</f>
        <v>63.506440796380424</v>
      </c>
      <c r="P20" s="109">
        <f t="shared" ca="1" si="1"/>
        <v>64.794996285502776</v>
      </c>
      <c r="Q20" s="109">
        <f ca="1">+'Proposed Rates'!G19</f>
        <v>64.794996285502776</v>
      </c>
      <c r="R20" s="109">
        <f t="shared" si="6"/>
        <v>16765.700370244431</v>
      </c>
      <c r="S20" s="109">
        <f t="shared" ca="1" si="7"/>
        <v>17105.879019372733</v>
      </c>
      <c r="T20" s="109">
        <f t="shared" ca="1" si="2"/>
        <v>340.17864912830191</v>
      </c>
      <c r="U20" s="109" t="str">
        <f t="shared" ca="1" si="8"/>
        <v xml:space="preserve"> </v>
      </c>
      <c r="V20" s="111">
        <f ca="1">((I20*$H$115)*(References!$D$69/References!$F$78))*'Regulated DF Calc'!G20</f>
        <v>1.2885554891223459</v>
      </c>
      <c r="W20" s="143">
        <f t="shared" ca="1" si="9"/>
        <v>0</v>
      </c>
    </row>
    <row r="21" spans="1:23" s="83" customFormat="1" ht="13.5" customHeight="1">
      <c r="A21" s="95" t="s">
        <v>96</v>
      </c>
      <c r="B21" s="95" t="s">
        <v>97</v>
      </c>
      <c r="D21" s="108"/>
      <c r="E21" s="110">
        <v>2</v>
      </c>
      <c r="G21" s="97">
        <f>+References!C12</f>
        <v>4.33</v>
      </c>
      <c r="H21" s="98">
        <f t="shared" si="3"/>
        <v>103.92</v>
      </c>
      <c r="I21" s="236">
        <f>+(((References!C25-References!C24)/References!C24)*References!C25)+References!C25</f>
        <v>160.41880341880341</v>
      </c>
      <c r="J21" s="84">
        <f t="shared" si="4"/>
        <v>16670.72205128205</v>
      </c>
      <c r="K21" s="84">
        <f t="shared" si="0"/>
        <v>12640.474469182484</v>
      </c>
      <c r="L21" s="96">
        <f ca="1">+K21*References!$D$69</f>
        <v>35.393328513710912</v>
      </c>
      <c r="M21" s="96">
        <f ca="1">+L21/References!$F$78</f>
        <v>36.211713232771551</v>
      </c>
      <c r="N21" s="109">
        <f t="shared" ca="1" si="5"/>
        <v>1.5088213846988145</v>
      </c>
      <c r="O21" s="237">
        <f>+'Proposed Rates'!B20</f>
        <v>73.620533240206129</v>
      </c>
      <c r="P21" s="109">
        <f t="shared" ca="1" si="1"/>
        <v>75.129354624904948</v>
      </c>
      <c r="Q21" s="109">
        <f ca="1">+'Proposed Rates'!G20</f>
        <v>75.129354624904948</v>
      </c>
      <c r="R21" s="109">
        <f t="shared" si="6"/>
        <v>1766.8927977649471</v>
      </c>
      <c r="S21" s="109">
        <f t="shared" ca="1" si="7"/>
        <v>1803.1045109977188</v>
      </c>
      <c r="T21" s="109">
        <f t="shared" ca="1" si="2"/>
        <v>36.211713232771672</v>
      </c>
      <c r="U21" s="109" t="str">
        <f t="shared" ca="1" si="8"/>
        <v xml:space="preserve"> </v>
      </c>
      <c r="V21" s="111">
        <f ca="1">((I21*$H$115)*(References!$D$69/References!$F$78))*'Regulated DF Calc'!G21</f>
        <v>1.5088213846988148</v>
      </c>
      <c r="W21" s="143">
        <f t="shared" ca="1" si="9"/>
        <v>0</v>
      </c>
    </row>
    <row r="22" spans="1:23" s="83" customFormat="1" ht="13.5" customHeight="1">
      <c r="A22" s="95" t="s">
        <v>98</v>
      </c>
      <c r="B22" s="95" t="s">
        <v>99</v>
      </c>
      <c r="D22" s="108"/>
      <c r="E22" s="110">
        <v>1</v>
      </c>
      <c r="G22" s="97">
        <f>+References!C12</f>
        <v>4.33</v>
      </c>
      <c r="H22" s="98">
        <f t="shared" si="3"/>
        <v>51.96</v>
      </c>
      <c r="I22" s="235">
        <f>+References!C26</f>
        <v>177</v>
      </c>
      <c r="J22" s="84">
        <f t="shared" si="4"/>
        <v>9196.92</v>
      </c>
      <c r="K22" s="84">
        <f t="shared" si="0"/>
        <v>6973.5091316079734</v>
      </c>
      <c r="L22" s="96">
        <f ca="1">+K22*References!$D$69</f>
        <v>19.525825568502302</v>
      </c>
      <c r="M22" s="96">
        <f ca="1">+L22/References!$F$78</f>
        <v>19.977312838655926</v>
      </c>
      <c r="N22" s="109">
        <f t="shared" ca="1" si="5"/>
        <v>1.6647760698879939</v>
      </c>
      <c r="O22" s="237">
        <f>+'Proposed Rates'!B21</f>
        <v>80.880438109192212</v>
      </c>
      <c r="P22" s="109">
        <f t="shared" ca="1" si="1"/>
        <v>82.545214179080205</v>
      </c>
      <c r="Q22" s="109">
        <f ca="1">+'Proposed Rates'!G21</f>
        <v>82.545214179080205</v>
      </c>
      <c r="R22" s="109">
        <f t="shared" si="6"/>
        <v>970.56525731030661</v>
      </c>
      <c r="S22" s="109">
        <f t="shared" ca="1" si="7"/>
        <v>990.54257014896245</v>
      </c>
      <c r="T22" s="109">
        <f t="shared" ca="1" si="2"/>
        <v>19.977312838655848</v>
      </c>
      <c r="U22" s="109" t="str">
        <f t="shared" ca="1" si="8"/>
        <v xml:space="preserve"> </v>
      </c>
      <c r="V22" s="111">
        <f ca="1">((I22*$H$115)*(References!$D$69/References!$F$78))*'Regulated DF Calc'!G22</f>
        <v>1.6647760698879936</v>
      </c>
      <c r="W22" s="143">
        <f t="shared" ca="1" si="9"/>
        <v>0</v>
      </c>
    </row>
    <row r="23" spans="1:23" s="108" customFormat="1" ht="13.5" customHeight="1">
      <c r="A23" s="220" t="s">
        <v>382</v>
      </c>
      <c r="B23" s="220" t="s">
        <v>100</v>
      </c>
      <c r="E23" s="110">
        <v>1</v>
      </c>
      <c r="G23" s="111">
        <f>+References!C12</f>
        <v>4.33</v>
      </c>
      <c r="H23" s="98">
        <f t="shared" si="3"/>
        <v>51.96</v>
      </c>
      <c r="I23" s="235">
        <v>197</v>
      </c>
      <c r="J23" s="110">
        <f t="shared" ref="J23" si="12">+H23*I23</f>
        <v>10236.120000000001</v>
      </c>
      <c r="K23" s="110">
        <f t="shared" si="0"/>
        <v>7761.4762651229985</v>
      </c>
      <c r="L23" s="109">
        <f ca="1">+K23*References!$D$69</f>
        <v>21.732133542344371</v>
      </c>
      <c r="M23" s="109">
        <f ca="1">+L23/References!$F$78</f>
        <v>22.234636323249816</v>
      </c>
      <c r="N23" s="109">
        <f t="shared" ca="1" si="5"/>
        <v>1.8528863602708181</v>
      </c>
      <c r="O23" s="237">
        <f>+'Proposed Rates'!B22</f>
        <v>94.857436765598123</v>
      </c>
      <c r="P23" s="109">
        <f t="shared" ref="P23" ca="1" si="13">+O23+N23</f>
        <v>96.710323125868939</v>
      </c>
      <c r="Q23" s="109">
        <f ca="1">+'Proposed Rates'!G22</f>
        <v>96.710323125868939</v>
      </c>
      <c r="R23" s="109">
        <f t="shared" si="6"/>
        <v>1138.2892411871776</v>
      </c>
      <c r="S23" s="109">
        <f t="shared" ca="1" si="7"/>
        <v>1160.5238775104272</v>
      </c>
      <c r="T23" s="109">
        <f t="shared" ref="T23" ca="1" si="14">+S23-R23</f>
        <v>22.234636323249561</v>
      </c>
      <c r="U23" s="109" t="str">
        <f t="shared" ca="1" si="8"/>
        <v xml:space="preserve"> </v>
      </c>
      <c r="V23" s="111">
        <f ca="1">((I23*$H$115)*(References!$D$69/References!$F$78))*'Regulated DF Calc'!G23</f>
        <v>1.8528863602708181</v>
      </c>
      <c r="W23" s="143">
        <f t="shared" ca="1" si="9"/>
        <v>0</v>
      </c>
    </row>
    <row r="24" spans="1:23" s="83" customFormat="1" ht="13.5" customHeight="1">
      <c r="A24" s="95" t="s">
        <v>101</v>
      </c>
      <c r="B24" s="95" t="s">
        <v>102</v>
      </c>
      <c r="D24" s="108"/>
      <c r="E24" s="110">
        <v>21026</v>
      </c>
      <c r="G24" s="97">
        <f>+References!C15</f>
        <v>1</v>
      </c>
      <c r="H24" s="98">
        <f>+E24*G24*12</f>
        <v>252312</v>
      </c>
      <c r="I24" s="235">
        <f>+References!C33</f>
        <v>34</v>
      </c>
      <c r="J24" s="84">
        <f t="shared" si="4"/>
        <v>8578608</v>
      </c>
      <c r="K24" s="84">
        <f t="shared" si="0"/>
        <v>6504677.7860941719</v>
      </c>
      <c r="L24" s="96">
        <f ca="1">+K24*References!$D$69</f>
        <v>18213.097801063661</v>
      </c>
      <c r="M24" s="96">
        <f ca="1">+L24/References!$F$78</f>
        <v>18634.231431413609</v>
      </c>
      <c r="N24" s="109">
        <f t="shared" ca="1" si="5"/>
        <v>7.3853924630670004E-2</v>
      </c>
      <c r="O24" s="237">
        <f>+'Proposed Rates'!B36</f>
        <v>4.2951957773418084</v>
      </c>
      <c r="P24" s="109">
        <f t="shared" ca="1" si="1"/>
        <v>4.3690497019724788</v>
      </c>
      <c r="Q24" s="109">
        <f ca="1">+'Proposed Rates'!G36</f>
        <v>4.3690497019724788</v>
      </c>
      <c r="R24" s="109">
        <f>+H24*O24</f>
        <v>1083729.4369726663</v>
      </c>
      <c r="S24" s="109">
        <f ca="1">+H24*P24</f>
        <v>1102363.66840408</v>
      </c>
      <c r="T24" s="109">
        <f t="shared" ca="1" si="2"/>
        <v>18634.231431413675</v>
      </c>
      <c r="U24" s="109" t="str">
        <f t="shared" ca="1" si="8"/>
        <v xml:space="preserve"> </v>
      </c>
      <c r="V24" s="111">
        <f ca="1">((I24*$H$115)*(References!$D$69/References!$F$78))*'Regulated DF Calc'!G24</f>
        <v>7.385392463066999E-2</v>
      </c>
      <c r="W24" s="143">
        <f t="shared" ca="1" si="9"/>
        <v>0</v>
      </c>
    </row>
    <row r="25" spans="1:23" s="83" customFormat="1" ht="13.5" customHeight="1">
      <c r="A25" s="95" t="s">
        <v>103</v>
      </c>
      <c r="B25" s="95" t="s">
        <v>104</v>
      </c>
      <c r="D25" s="108"/>
      <c r="E25" s="110">
        <v>290</v>
      </c>
      <c r="G25" s="97">
        <f>+References!C15</f>
        <v>1</v>
      </c>
      <c r="H25" s="98">
        <f t="shared" ref="H25:H29" si="15">+E25*G25*12</f>
        <v>3480</v>
      </c>
      <c r="I25" s="235">
        <f>+References!C33</f>
        <v>34</v>
      </c>
      <c r="J25" s="110">
        <f t="shared" si="4"/>
        <v>118320</v>
      </c>
      <c r="K25" s="110">
        <f t="shared" si="0"/>
        <v>89715.42651799247</v>
      </c>
      <c r="L25" s="109">
        <f ca="1">+K25*References!$D$69</f>
        <v>251.20319425037863</v>
      </c>
      <c r="M25" s="109">
        <f ca="1">+L25/References!$F$78</f>
        <v>257.01165771473154</v>
      </c>
      <c r="N25" s="109">
        <f t="shared" ca="1" si="5"/>
        <v>7.385392463066999E-2</v>
      </c>
      <c r="O25" s="237">
        <f>+'Proposed Rates'!B41</f>
        <v>5.6651957773418085</v>
      </c>
      <c r="P25" s="109">
        <f t="shared" ca="1" si="1"/>
        <v>5.7390497019724789</v>
      </c>
      <c r="Q25" s="109">
        <f ca="1">+'Proposed Rates'!G41</f>
        <v>5.7390497019724789</v>
      </c>
      <c r="R25" s="109">
        <f t="shared" ref="R25:R30" si="16">+H25*O25</f>
        <v>19714.881305149494</v>
      </c>
      <c r="S25" s="109">
        <f t="shared" ref="S25:S30" ca="1" si="17">+H25*P25</f>
        <v>19971.892962864225</v>
      </c>
      <c r="T25" s="109">
        <f t="shared" ca="1" si="2"/>
        <v>257.01165771473097</v>
      </c>
      <c r="U25" s="109" t="str">
        <f t="shared" ca="1" si="8"/>
        <v xml:space="preserve"> </v>
      </c>
      <c r="V25" s="111">
        <f ca="1">((I25*$H$115)*(References!$D$69/References!$F$78))*'Regulated DF Calc'!G25</f>
        <v>7.385392463066999E-2</v>
      </c>
      <c r="W25" s="143">
        <f t="shared" ca="1" si="9"/>
        <v>0</v>
      </c>
    </row>
    <row r="26" spans="1:23" s="108" customFormat="1" ht="13.5" customHeight="1">
      <c r="A26" s="95" t="s">
        <v>380</v>
      </c>
      <c r="B26" s="95" t="s">
        <v>381</v>
      </c>
      <c r="E26" s="110">
        <v>3</v>
      </c>
      <c r="G26" s="97">
        <f>+References!C15</f>
        <v>1</v>
      </c>
      <c r="H26" s="98">
        <f t="shared" si="15"/>
        <v>36</v>
      </c>
      <c r="I26" s="235">
        <f>+References!C33</f>
        <v>34</v>
      </c>
      <c r="J26" s="110">
        <f t="shared" ref="J26" si="18">+H26*I26</f>
        <v>1224</v>
      </c>
      <c r="K26" s="110">
        <f t="shared" si="0"/>
        <v>928.09061915164625</v>
      </c>
      <c r="L26" s="109">
        <f ca="1">+K26*References!$D$69</f>
        <v>2.5986537336246065</v>
      </c>
      <c r="M26" s="109">
        <f ca="1">+L26/References!$F$78</f>
        <v>2.6587412867041196</v>
      </c>
      <c r="N26" s="109">
        <f t="shared" ca="1" si="5"/>
        <v>7.385392463066999E-2</v>
      </c>
      <c r="O26" s="237">
        <f>+'Proposed Rates'!B41</f>
        <v>5.6651957773418085</v>
      </c>
      <c r="P26" s="109">
        <f t="shared" ref="P26" ca="1" si="19">+O26+N26</f>
        <v>5.7390497019724789</v>
      </c>
      <c r="Q26" s="109">
        <f ca="1">+'Proposed Rates'!G41</f>
        <v>5.7390497019724789</v>
      </c>
      <c r="R26" s="109">
        <f t="shared" si="16"/>
        <v>203.9470479843051</v>
      </c>
      <c r="S26" s="109">
        <f t="shared" ca="1" si="17"/>
        <v>206.60578927100923</v>
      </c>
      <c r="T26" s="109">
        <f t="shared" ref="T26" ca="1" si="20">+S26-R26</f>
        <v>2.658741286704128</v>
      </c>
      <c r="U26" s="109" t="str">
        <f t="shared" ca="1" si="8"/>
        <v xml:space="preserve"> </v>
      </c>
      <c r="V26" s="111">
        <f ca="1">((I26*$H$115)*(References!$D$69/References!$F$78))*'Regulated DF Calc'!G26</f>
        <v>7.385392463066999E-2</v>
      </c>
      <c r="W26" s="143">
        <f t="shared" ca="1" si="9"/>
        <v>0</v>
      </c>
    </row>
    <row r="27" spans="1:23" s="83" customFormat="1" ht="13.5" customHeight="1">
      <c r="A27" s="95" t="s">
        <v>105</v>
      </c>
      <c r="B27" s="95" t="s">
        <v>106</v>
      </c>
      <c r="C27" s="108"/>
      <c r="D27" s="108"/>
      <c r="E27" s="110">
        <v>3717</v>
      </c>
      <c r="F27" s="108"/>
      <c r="G27" s="97">
        <f>+References!C15</f>
        <v>1</v>
      </c>
      <c r="H27" s="98">
        <f t="shared" si="15"/>
        <v>44604</v>
      </c>
      <c r="I27" s="235">
        <v>34</v>
      </c>
      <c r="J27" s="110">
        <f t="shared" si="4"/>
        <v>1516536</v>
      </c>
      <c r="K27" s="110">
        <f t="shared" si="0"/>
        <v>1149904.2771288897</v>
      </c>
      <c r="L27" s="109">
        <f ca="1">+K27*References!$D$69</f>
        <v>3219.7319759608877</v>
      </c>
      <c r="M27" s="109">
        <f ca="1">+L27/References!$F$78</f>
        <v>3294.1804542264044</v>
      </c>
      <c r="N27" s="109">
        <f t="shared" ca="1" si="5"/>
        <v>7.385392463066999E-2</v>
      </c>
      <c r="O27" s="237">
        <f>+'Proposed Rates'!B9</f>
        <v>5.5051957773418083</v>
      </c>
      <c r="P27" s="109">
        <f t="shared" ca="1" si="1"/>
        <v>5.5790497019724787</v>
      </c>
      <c r="Q27" s="109">
        <f ca="1">+'Proposed Rates'!G9</f>
        <v>5.5790497019724787</v>
      </c>
      <c r="R27" s="109">
        <f t="shared" si="16"/>
        <v>245553.75245255401</v>
      </c>
      <c r="S27" s="109">
        <f t="shared" ca="1" si="17"/>
        <v>248847.93290678045</v>
      </c>
      <c r="T27" s="109">
        <f t="shared" ca="1" si="2"/>
        <v>3294.1804542264435</v>
      </c>
      <c r="U27" s="109" t="str">
        <f t="shared" ca="1" si="8"/>
        <v xml:space="preserve"> </v>
      </c>
      <c r="V27" s="111">
        <f ca="1">((I27*$H$115)*(References!$D$69/References!$F$78))*'Regulated DF Calc'!G27</f>
        <v>7.385392463066999E-2</v>
      </c>
      <c r="W27" s="143">
        <f t="shared" ca="1" si="9"/>
        <v>0</v>
      </c>
    </row>
    <row r="28" spans="1:23" s="83" customFormat="1" ht="13.5" customHeight="1">
      <c r="A28" s="95" t="s">
        <v>107</v>
      </c>
      <c r="B28" s="95" t="s">
        <v>106</v>
      </c>
      <c r="C28" s="108"/>
      <c r="D28" s="108"/>
      <c r="E28" s="110">
        <v>15</v>
      </c>
      <c r="F28" s="108"/>
      <c r="G28" s="97">
        <f>+References!C15</f>
        <v>1</v>
      </c>
      <c r="H28" s="98">
        <f t="shared" si="15"/>
        <v>180</v>
      </c>
      <c r="I28" s="235">
        <v>34</v>
      </c>
      <c r="J28" s="110">
        <f t="shared" si="4"/>
        <v>6120</v>
      </c>
      <c r="K28" s="110">
        <f t="shared" si="0"/>
        <v>4640.4530957582319</v>
      </c>
      <c r="L28" s="109">
        <f ca="1">+K28*References!$D$69</f>
        <v>12.993268668123035</v>
      </c>
      <c r="M28" s="109">
        <f ca="1">+L28/References!$F$78</f>
        <v>13.293706433520599</v>
      </c>
      <c r="N28" s="109">
        <f t="shared" ca="1" si="5"/>
        <v>7.385392463066999E-2</v>
      </c>
      <c r="O28" s="237">
        <f>+'Proposed Rates'!B9</f>
        <v>5.5051957773418083</v>
      </c>
      <c r="P28" s="109">
        <f t="shared" ca="1" si="1"/>
        <v>5.5790497019724787</v>
      </c>
      <c r="Q28" s="109">
        <f ca="1">+'Proposed Rates'!G9</f>
        <v>5.5790497019724787</v>
      </c>
      <c r="R28" s="109">
        <f t="shared" si="16"/>
        <v>990.93523992152552</v>
      </c>
      <c r="S28" s="109">
        <f t="shared" ca="1" si="17"/>
        <v>1004.2289463550462</v>
      </c>
      <c r="T28" s="109">
        <f t="shared" ca="1" si="2"/>
        <v>13.293706433520697</v>
      </c>
      <c r="U28" s="109" t="str">
        <f t="shared" ca="1" si="8"/>
        <v xml:space="preserve"> </v>
      </c>
      <c r="V28" s="111">
        <f ca="1">((I28*$H$115)*(References!$D$69/References!$F$78))*'Regulated DF Calc'!G28</f>
        <v>7.385392463066999E-2</v>
      </c>
      <c r="W28" s="143">
        <f t="shared" ca="1" si="9"/>
        <v>0</v>
      </c>
    </row>
    <row r="29" spans="1:23" s="108" customFormat="1" ht="13.5" customHeight="1">
      <c r="A29" s="95" t="s">
        <v>297</v>
      </c>
      <c r="B29" s="95" t="s">
        <v>298</v>
      </c>
      <c r="E29" s="110">
        <v>343</v>
      </c>
      <c r="G29" s="97">
        <f>+References!C15</f>
        <v>1</v>
      </c>
      <c r="H29" s="98">
        <f t="shared" si="15"/>
        <v>4116</v>
      </c>
      <c r="I29" s="235">
        <f>References!C36</f>
        <v>125</v>
      </c>
      <c r="J29" s="110">
        <f t="shared" ref="J29" si="21">+H29*I29</f>
        <v>514500</v>
      </c>
      <c r="K29" s="110">
        <f t="shared" si="0"/>
        <v>390116.52251104743</v>
      </c>
      <c r="L29" s="109">
        <f ca="1">+K29*References!$D$69</f>
        <v>1092.3262630309316</v>
      </c>
      <c r="M29" s="109">
        <f ca="1">+L29/References!$F$78</f>
        <v>1117.5836536023446</v>
      </c>
      <c r="N29" s="109">
        <f t="shared" ca="1" si="5"/>
        <v>0.27152178173040442</v>
      </c>
      <c r="O29" s="237">
        <f>+'Proposed Rates'!B49</f>
        <v>19.153219769639001</v>
      </c>
      <c r="P29" s="109">
        <f t="shared" ref="P29" ca="1" si="22">+O29+N29</f>
        <v>19.424741551369404</v>
      </c>
      <c r="Q29" s="109">
        <f ca="1">+'Proposed Rates'!G49</f>
        <v>19.424741551369404</v>
      </c>
      <c r="R29" s="109">
        <f t="shared" si="16"/>
        <v>78834.652571834129</v>
      </c>
      <c r="S29" s="109">
        <f t="shared" ca="1" si="17"/>
        <v>79952.236225436471</v>
      </c>
      <c r="T29" s="109">
        <f t="shared" ref="T29" ca="1" si="23">+S29-R29</f>
        <v>1117.5836536023417</v>
      </c>
      <c r="U29" s="109" t="str">
        <f t="shared" ref="U29" ca="1" si="24">IF(P29=Q29," ","Difference between Calculated Rate and Proposed Tariff")</f>
        <v xml:space="preserve"> </v>
      </c>
      <c r="V29" s="111">
        <f ca="1">((I29*$H$115)*(References!$D$69/References!$F$78))*'Regulated DF Calc'!G29</f>
        <v>0.27152178173040437</v>
      </c>
      <c r="W29" s="143">
        <f t="shared" ca="1" si="9"/>
        <v>0</v>
      </c>
    </row>
    <row r="30" spans="1:23" s="108" customFormat="1" ht="13.5" customHeight="1">
      <c r="A30" s="95"/>
      <c r="B30" s="95" t="s">
        <v>417</v>
      </c>
      <c r="E30" s="110">
        <v>1</v>
      </c>
      <c r="G30" s="97">
        <v>1</v>
      </c>
      <c r="H30" s="98">
        <f t="shared" ref="H30" si="25">+E30*G30</f>
        <v>1</v>
      </c>
      <c r="I30" s="235">
        <f>References!C20</f>
        <v>34</v>
      </c>
      <c r="J30" s="110">
        <f t="shared" ref="J30" si="26">+H30*I30</f>
        <v>34</v>
      </c>
      <c r="K30" s="110">
        <f t="shared" si="0"/>
        <v>25.780294976434618</v>
      </c>
      <c r="L30" s="109">
        <f ca="1">+K30*References!$D$69</f>
        <v>7.2184825934016858E-2</v>
      </c>
      <c r="M30" s="109">
        <f ca="1">+L30/References!$F$78</f>
        <v>7.385392463066999E-2</v>
      </c>
      <c r="N30" s="109">
        <f t="shared" ca="1" si="5"/>
        <v>7.385392463066999E-2</v>
      </c>
      <c r="O30" s="237">
        <v>13.31</v>
      </c>
      <c r="P30" s="109">
        <f t="shared" ref="P30" ca="1" si="27">+O30+N30</f>
        <v>13.383853924630671</v>
      </c>
      <c r="Q30" s="109">
        <f ca="1">+'Proposed Rates'!G50</f>
        <v>19.424741551369404</v>
      </c>
      <c r="R30" s="109">
        <f t="shared" si="16"/>
        <v>13.31</v>
      </c>
      <c r="S30" s="109">
        <f t="shared" ca="1" si="17"/>
        <v>13.383853924630671</v>
      </c>
      <c r="T30" s="109">
        <f t="shared" ref="T30" ca="1" si="28">+S30-R30</f>
        <v>7.385392463067042E-2</v>
      </c>
      <c r="U30" s="109"/>
      <c r="V30" s="111"/>
      <c r="W30" s="143"/>
    </row>
    <row r="31" spans="1:23" s="83" customFormat="1" ht="13.5" customHeight="1">
      <c r="A31" s="99"/>
      <c r="B31" s="99"/>
      <c r="U31" s="96" t="str">
        <f t="shared" si="8"/>
        <v xml:space="preserve"> </v>
      </c>
    </row>
    <row r="32" spans="1:23" s="83" customFormat="1" ht="13.5" customHeight="1">
      <c r="A32" s="82"/>
      <c r="B32" s="100" t="s">
        <v>108</v>
      </c>
      <c r="D32" s="102"/>
      <c r="E32" s="103">
        <f>+SUM(E10:E31)</f>
        <v>99312.172514619888</v>
      </c>
      <c r="F32" s="103"/>
      <c r="G32" s="103"/>
      <c r="H32" s="103">
        <f>+SUM(H10:H31)</f>
        <v>3882653.7638596492</v>
      </c>
      <c r="I32" s="103">
        <f>SUM(I10:I28)</f>
        <v>1359.4188034188035</v>
      </c>
      <c r="J32" s="103">
        <f>+SUM(J10:J31)</f>
        <v>148244922.45327938</v>
      </c>
      <c r="K32" s="103">
        <f>+SUM(K10:K31)</f>
        <v>112405818.5177711</v>
      </c>
      <c r="L32" s="226">
        <f ca="1">+SUM(L10:L31)</f>
        <v>314736.29184975871</v>
      </c>
      <c r="M32" s="226">
        <f ca="1">+SUM(M10:M31)</f>
        <v>322013.80381600035</v>
      </c>
      <c r="N32" s="226"/>
      <c r="O32" s="226"/>
      <c r="P32" s="226"/>
      <c r="Q32" s="226"/>
      <c r="R32" s="226">
        <f>+SUM(R10:R31)</f>
        <v>16360212.472000739</v>
      </c>
      <c r="S32" s="226">
        <f ca="1">+SUM(S10:S31)</f>
        <v>16682226.275816737</v>
      </c>
      <c r="T32" s="226">
        <f ca="1">+SUM(T10:T31)</f>
        <v>322013.80381599918</v>
      </c>
      <c r="U32" s="96" t="str">
        <f t="shared" si="8"/>
        <v xml:space="preserve"> </v>
      </c>
      <c r="V32" s="142"/>
    </row>
    <row r="33" spans="1:23" ht="13.5" customHeight="1">
      <c r="U33" s="96" t="str">
        <f t="shared" si="8"/>
        <v xml:space="preserve"> </v>
      </c>
    </row>
    <row r="34" spans="1:23" ht="13.5" customHeight="1">
      <c r="A34" s="92" t="s">
        <v>109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6" t="str">
        <f t="shared" si="8"/>
        <v xml:space="preserve"> </v>
      </c>
      <c r="V34" s="93"/>
    </row>
    <row r="35" spans="1:23" ht="13.5" customHeight="1">
      <c r="A35" s="88"/>
      <c r="B35" s="88"/>
      <c r="U35" s="96" t="str">
        <f t="shared" si="8"/>
        <v xml:space="preserve"> </v>
      </c>
    </row>
    <row r="36" spans="1:23" ht="13.5" customHeight="1">
      <c r="A36" s="94" t="s">
        <v>110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6" t="str">
        <f t="shared" si="8"/>
        <v xml:space="preserve"> </v>
      </c>
      <c r="V36" s="94"/>
    </row>
    <row r="37" spans="1:23" s="83" customFormat="1" ht="13.5" customHeight="1">
      <c r="A37" s="95" t="s">
        <v>111</v>
      </c>
      <c r="B37" s="95" t="s">
        <v>112</v>
      </c>
      <c r="D37" s="108"/>
      <c r="E37" s="110">
        <v>406</v>
      </c>
      <c r="G37" s="97">
        <f>+References!C12</f>
        <v>4.33</v>
      </c>
      <c r="H37" s="219">
        <f>+E37*G37*12</f>
        <v>21095.760000000002</v>
      </c>
      <c r="I37" s="235">
        <f>+References!C37</f>
        <v>175</v>
      </c>
      <c r="J37" s="84">
        <f t="shared" ref="J37:J100" si="29">+H37*I37</f>
        <v>3691758.0000000005</v>
      </c>
      <c r="K37" s="84">
        <f t="shared" ref="K37:K68" si="30">+J37*$H$115</f>
        <v>2799253.2418121272</v>
      </c>
      <c r="L37" s="96">
        <f ca="1">+K37*References!$D$69</f>
        <v>7837.9090770739476</v>
      </c>
      <c r="M37" s="96">
        <f ca="1">+L37/References!$F$78</f>
        <v>8019.1416790197945</v>
      </c>
      <c r="N37" s="96">
        <f ca="1">IFERROR(+M37/H37,0)</f>
        <v>0.38013049442256613</v>
      </c>
      <c r="O37" s="237">
        <f>+'Proposed Rates'!B75</f>
        <v>20.418507677494606</v>
      </c>
      <c r="P37" s="96">
        <f t="shared" ref="P37:P70" ca="1" si="31">+O37+N37</f>
        <v>20.798638171917172</v>
      </c>
      <c r="Q37" s="96">
        <f ca="1">+'Proposed Rates'!G75</f>
        <v>20.798638171917172</v>
      </c>
      <c r="R37" s="96">
        <f>+E37*O37*G37*12</f>
        <v>430743.93752258364</v>
      </c>
      <c r="S37" s="96">
        <f ca="1">+E37*P37*G37*12</f>
        <v>438763.07920160342</v>
      </c>
      <c r="T37" s="96">
        <f t="shared" ref="T37:T70" ca="1" si="32">+S37-R37</f>
        <v>8019.1416790197836</v>
      </c>
      <c r="U37" s="96" t="str">
        <f t="shared" ca="1" si="8"/>
        <v xml:space="preserve"> </v>
      </c>
      <c r="V37" s="97">
        <f ca="1">((I37*$H$115)*(References!$D$69/References!$F$78))</f>
        <v>0.38013049442256613</v>
      </c>
      <c r="W37" s="116">
        <f t="shared" ref="W37" ca="1" si="33">N37-V37</f>
        <v>0</v>
      </c>
    </row>
    <row r="38" spans="1:23" s="83" customFormat="1" ht="13.5" customHeight="1">
      <c r="A38" s="95" t="s">
        <v>113</v>
      </c>
      <c r="B38" s="95" t="s">
        <v>114</v>
      </c>
      <c r="D38" s="108"/>
      <c r="E38" s="110">
        <v>11</v>
      </c>
      <c r="G38" s="97">
        <f>+References!C11</f>
        <v>8.66</v>
      </c>
      <c r="H38" s="219">
        <f t="shared" ref="H38:H91" si="34">+E38*G38*12</f>
        <v>1143.1200000000001</v>
      </c>
      <c r="I38" s="235">
        <f>+References!C37</f>
        <v>175</v>
      </c>
      <c r="J38" s="84">
        <f t="shared" si="29"/>
        <v>200046.00000000003</v>
      </c>
      <c r="K38" s="84">
        <f t="shared" si="30"/>
        <v>151683.67320164238</v>
      </c>
      <c r="L38" s="96">
        <f ca="1">+K38*References!$D$69</f>
        <v>424.71428496459816</v>
      </c>
      <c r="M38" s="96">
        <f ca="1">+L38/References!$F$78</f>
        <v>434.53477078432388</v>
      </c>
      <c r="N38" s="96">
        <f t="shared" ref="N38:N101" ca="1" si="35">IFERROR(+M38/H38,0)</f>
        <v>0.38013049442256619</v>
      </c>
      <c r="O38" s="237">
        <f>+'Proposed Rates'!B75</f>
        <v>20.418507677494606</v>
      </c>
      <c r="P38" s="96">
        <f t="shared" ca="1" si="31"/>
        <v>20.798638171917172</v>
      </c>
      <c r="Q38" s="96">
        <f ca="1">+'Proposed Rates'!G75</f>
        <v>20.798638171917172</v>
      </c>
      <c r="R38" s="96">
        <f t="shared" ref="R38:R101" si="36">+E38*O38*G38*12</f>
        <v>23340.804496297635</v>
      </c>
      <c r="S38" s="96">
        <f t="shared" ref="S38:S101" ca="1" si="37">+E38*P38*G38*12</f>
        <v>23775.339267081959</v>
      </c>
      <c r="T38" s="96">
        <f t="shared" ca="1" si="32"/>
        <v>434.53477078432479</v>
      </c>
      <c r="U38" s="96" t="str">
        <f t="shared" ca="1" si="8"/>
        <v xml:space="preserve"> </v>
      </c>
      <c r="V38" s="97">
        <f ca="1">((I38*$H$115)*(References!$D$69/References!$F$78))</f>
        <v>0.38013049442256613</v>
      </c>
      <c r="W38" s="116">
        <f t="shared" ref="W38:W99" ca="1" si="38">N38-V38</f>
        <v>0</v>
      </c>
    </row>
    <row r="39" spans="1:23" s="83" customFormat="1" ht="13.5" customHeight="1">
      <c r="A39" s="95" t="s">
        <v>115</v>
      </c>
      <c r="B39" s="95" t="s">
        <v>116</v>
      </c>
      <c r="D39" s="108"/>
      <c r="E39" s="110">
        <v>732</v>
      </c>
      <c r="G39" s="97">
        <f>+References!C13</f>
        <v>2.17</v>
      </c>
      <c r="H39" s="219">
        <f t="shared" si="34"/>
        <v>19061.28</v>
      </c>
      <c r="I39" s="235">
        <f>+References!C37</f>
        <v>175</v>
      </c>
      <c r="J39" s="84">
        <f t="shared" si="29"/>
        <v>3335724</v>
      </c>
      <c r="K39" s="84">
        <f t="shared" si="30"/>
        <v>2529292.6082344824</v>
      </c>
      <c r="L39" s="96">
        <f ca="1">+K39*References!$D$69</f>
        <v>7082.0193030565424</v>
      </c>
      <c r="M39" s="96">
        <f ca="1">+L39/References!$F$78</f>
        <v>7245.773790726972</v>
      </c>
      <c r="N39" s="96">
        <f t="shared" ca="1" si="35"/>
        <v>0.38013049442256619</v>
      </c>
      <c r="O39" s="237">
        <f>+'Proposed Rates'!B75</f>
        <v>20.418507677494606</v>
      </c>
      <c r="P39" s="96">
        <f t="shared" ca="1" si="31"/>
        <v>20.798638171917172</v>
      </c>
      <c r="Q39" s="96">
        <f ca="1">+'Proposed Rates'!G75</f>
        <v>20.798638171917172</v>
      </c>
      <c r="R39" s="96">
        <f t="shared" si="36"/>
        <v>389202.89202287432</v>
      </c>
      <c r="S39" s="96">
        <f t="shared" ca="1" si="37"/>
        <v>396448.66581360134</v>
      </c>
      <c r="T39" s="96">
        <f t="shared" ca="1" si="32"/>
        <v>7245.7737907270202</v>
      </c>
      <c r="U39" s="96" t="str">
        <f t="shared" ca="1" si="8"/>
        <v xml:space="preserve"> </v>
      </c>
      <c r="V39" s="97">
        <f ca="1">((I39*$H$115)*(References!$D$69/References!$F$78))</f>
        <v>0.38013049442256613</v>
      </c>
      <c r="W39" s="116">
        <f t="shared" ca="1" si="38"/>
        <v>0</v>
      </c>
    </row>
    <row r="40" spans="1:23" s="108" customFormat="1" ht="13.5" customHeight="1">
      <c r="A40" s="107" t="s">
        <v>117</v>
      </c>
      <c r="B40" s="107" t="s">
        <v>118</v>
      </c>
      <c r="E40" s="110">
        <v>133</v>
      </c>
      <c r="G40" s="111">
        <f>+References!C12</f>
        <v>4.33</v>
      </c>
      <c r="H40" s="219">
        <f t="shared" si="34"/>
        <v>6910.68</v>
      </c>
      <c r="I40" s="235">
        <f>+References!C38</f>
        <v>250</v>
      </c>
      <c r="J40" s="110">
        <f t="shared" si="29"/>
        <v>1727670</v>
      </c>
      <c r="K40" s="110">
        <f t="shared" si="30"/>
        <v>1309995.3594687295</v>
      </c>
      <c r="L40" s="109">
        <f ca="1">+K40*References!$D$69</f>
        <v>3667.9870065124387</v>
      </c>
      <c r="M40" s="109">
        <f ca="1">+L40/References!$F$78</f>
        <v>3752.8002931373426</v>
      </c>
      <c r="N40" s="96">
        <f t="shared" ca="1" si="35"/>
        <v>0.54304356346080884</v>
      </c>
      <c r="O40" s="237">
        <f>+'Proposed Rates'!B76</f>
        <v>27.576439539278006</v>
      </c>
      <c r="P40" s="109">
        <f t="shared" ca="1" si="31"/>
        <v>28.119483102738815</v>
      </c>
      <c r="Q40" s="109">
        <f ca="1">+'Proposed Rates'!G76</f>
        <v>28.119483102738815</v>
      </c>
      <c r="R40" s="96">
        <f t="shared" si="36"/>
        <v>190571.94919529773</v>
      </c>
      <c r="S40" s="96">
        <f t="shared" ca="1" si="37"/>
        <v>194324.7494884351</v>
      </c>
      <c r="T40" s="109">
        <f t="shared" ca="1" si="32"/>
        <v>3752.8002931373776</v>
      </c>
      <c r="U40" s="96" t="str">
        <f t="shared" ca="1" si="8"/>
        <v xml:space="preserve"> </v>
      </c>
      <c r="V40" s="97">
        <f ca="1">((I40*$H$115)*(References!$D$69/References!$F$78))</f>
        <v>0.54304356346080873</v>
      </c>
      <c r="W40" s="116">
        <f t="shared" ca="1" si="38"/>
        <v>0</v>
      </c>
    </row>
    <row r="41" spans="1:23" s="83" customFormat="1" ht="13.5" customHeight="1">
      <c r="A41" s="95" t="s">
        <v>119</v>
      </c>
      <c r="B41" s="95" t="s">
        <v>120</v>
      </c>
      <c r="D41" s="108"/>
      <c r="E41" s="110">
        <v>2</v>
      </c>
      <c r="G41" s="97">
        <f>+References!C11</f>
        <v>8.66</v>
      </c>
      <c r="H41" s="219">
        <f t="shared" si="34"/>
        <v>207.84</v>
      </c>
      <c r="I41" s="235">
        <f>+References!C38</f>
        <v>250</v>
      </c>
      <c r="J41" s="84">
        <f t="shared" si="29"/>
        <v>51960</v>
      </c>
      <c r="K41" s="84">
        <f t="shared" si="30"/>
        <v>39398.35667575126</v>
      </c>
      <c r="L41" s="96">
        <f ca="1">+K41*References!$D$69</f>
        <v>110.3153986921034</v>
      </c>
      <c r="M41" s="96">
        <f ca="1">+L41/References!$F$78</f>
        <v>112.86617422969449</v>
      </c>
      <c r="N41" s="96">
        <f t="shared" ca="1" si="35"/>
        <v>0.54304356346080873</v>
      </c>
      <c r="O41" s="244">
        <f>+'Proposed Rates'!B76</f>
        <v>27.576439539278006</v>
      </c>
      <c r="P41" s="96">
        <f t="shared" ca="1" si="31"/>
        <v>28.119483102738815</v>
      </c>
      <c r="Q41" s="106">
        <f ca="1">+'Proposed Rates'!G76</f>
        <v>28.119483102738815</v>
      </c>
      <c r="R41" s="96">
        <f t="shared" si="36"/>
        <v>5731.4871938435408</v>
      </c>
      <c r="S41" s="96">
        <f t="shared" ca="1" si="37"/>
        <v>5844.3533680732353</v>
      </c>
      <c r="T41" s="96">
        <f t="shared" ca="1" si="32"/>
        <v>112.86617422969448</v>
      </c>
      <c r="U41" s="96" t="str">
        <f t="shared" ca="1" si="8"/>
        <v xml:space="preserve"> </v>
      </c>
      <c r="V41" s="97">
        <f ca="1">((I41*$H$115)*(References!$D$69/References!$F$78))</f>
        <v>0.54304356346080873</v>
      </c>
      <c r="W41" s="116">
        <f t="shared" ca="1" si="38"/>
        <v>0</v>
      </c>
    </row>
    <row r="42" spans="1:23" s="83" customFormat="1" ht="13.5" customHeight="1">
      <c r="A42" s="95" t="s">
        <v>121</v>
      </c>
      <c r="B42" s="95" t="s">
        <v>122</v>
      </c>
      <c r="D42" s="108"/>
      <c r="E42" s="110">
        <v>201</v>
      </c>
      <c r="G42" s="97">
        <f>+References!C13</f>
        <v>2.17</v>
      </c>
      <c r="H42" s="219">
        <f t="shared" si="34"/>
        <v>5234.0399999999991</v>
      </c>
      <c r="I42" s="235">
        <f>+References!C38</f>
        <v>250</v>
      </c>
      <c r="J42" s="84">
        <f t="shared" si="29"/>
        <v>1308509.9999999998</v>
      </c>
      <c r="K42" s="84">
        <f t="shared" si="30"/>
        <v>992169.8170474841</v>
      </c>
      <c r="L42" s="96">
        <f ca="1">+K42*References!$D$69</f>
        <v>2778.0754877329523</v>
      </c>
      <c r="M42" s="96">
        <f ca="1">+L42/References!$F$78</f>
        <v>2842.3117328964108</v>
      </c>
      <c r="N42" s="96">
        <f t="shared" ca="1" si="35"/>
        <v>0.54304356346080873</v>
      </c>
      <c r="O42" s="237">
        <f>+'Proposed Rates'!B76</f>
        <v>27.576439539278006</v>
      </c>
      <c r="P42" s="96">
        <f t="shared" ca="1" si="31"/>
        <v>28.119483102738815</v>
      </c>
      <c r="Q42" s="96">
        <f ca="1">+'Proposed Rates'!G76</f>
        <v>28.119483102738815</v>
      </c>
      <c r="R42" s="96">
        <f t="shared" si="36"/>
        <v>144336.18760616265</v>
      </c>
      <c r="S42" s="96">
        <f t="shared" ca="1" si="37"/>
        <v>147178.49933905905</v>
      </c>
      <c r="T42" s="96">
        <f t="shared" ca="1" si="32"/>
        <v>2842.3117328963999</v>
      </c>
      <c r="U42" s="96" t="str">
        <f t="shared" ca="1" si="8"/>
        <v xml:space="preserve"> </v>
      </c>
      <c r="V42" s="97">
        <f ca="1">((I42*$H$115)*(References!$D$69/References!$F$78))</f>
        <v>0.54304356346080873</v>
      </c>
      <c r="W42" s="116">
        <f t="shared" ca="1" si="38"/>
        <v>0</v>
      </c>
    </row>
    <row r="43" spans="1:23" s="108" customFormat="1" ht="13.5" customHeight="1">
      <c r="A43" s="107" t="s">
        <v>123</v>
      </c>
      <c r="B43" s="107" t="s">
        <v>124</v>
      </c>
      <c r="E43" s="110">
        <v>510</v>
      </c>
      <c r="G43" s="111">
        <f>+References!C12</f>
        <v>4.33</v>
      </c>
      <c r="H43" s="219">
        <f t="shared" si="34"/>
        <v>26499.600000000002</v>
      </c>
      <c r="I43" s="235">
        <f>+References!C39</f>
        <v>324</v>
      </c>
      <c r="J43" s="110">
        <f t="shared" si="29"/>
        <v>8585870.4000000004</v>
      </c>
      <c r="K43" s="110">
        <f t="shared" si="30"/>
        <v>6510184.4571011383</v>
      </c>
      <c r="L43" s="109">
        <f ca="1">+K43*References!$D$69</f>
        <v>18228.516479883168</v>
      </c>
      <c r="M43" s="109">
        <f ca="1">+L43/References!$F$78</f>
        <v>18650.00662971472</v>
      </c>
      <c r="N43" s="96">
        <f t="shared" ca="1" si="35"/>
        <v>0.70378445824520819</v>
      </c>
      <c r="O43" s="237">
        <f>+'Proposed Rates'!$B$77</f>
        <v>33.001865642904292</v>
      </c>
      <c r="P43" s="109">
        <f t="shared" ca="1" si="31"/>
        <v>33.705650101149502</v>
      </c>
      <c r="Q43" s="109">
        <f ca="1">+'Proposed Rates'!$G$77</f>
        <v>33.705650101149502</v>
      </c>
      <c r="R43" s="96">
        <f t="shared" si="36"/>
        <v>874536.2387907065</v>
      </c>
      <c r="S43" s="96">
        <f t="shared" ca="1" si="37"/>
        <v>893186.24542042124</v>
      </c>
      <c r="T43" s="109">
        <f t="shared" ca="1" si="32"/>
        <v>18650.006629714742</v>
      </c>
      <c r="U43" s="96" t="str">
        <f t="shared" ca="1" si="8"/>
        <v xml:space="preserve"> </v>
      </c>
      <c r="V43" s="97">
        <f ca="1">((I43*$H$115)*(References!$D$69/References!$F$78))</f>
        <v>0.70378445824520819</v>
      </c>
      <c r="W43" s="116">
        <f t="shared" ca="1" si="38"/>
        <v>0</v>
      </c>
    </row>
    <row r="44" spans="1:23" s="83" customFormat="1" ht="13.5" customHeight="1">
      <c r="A44" s="95" t="s">
        <v>125</v>
      </c>
      <c r="B44" s="95" t="s">
        <v>126</v>
      </c>
      <c r="D44" s="108"/>
      <c r="E44" s="110">
        <v>46</v>
      </c>
      <c r="G44" s="97">
        <f>+References!C11</f>
        <v>8.66</v>
      </c>
      <c r="H44" s="219">
        <f t="shared" si="34"/>
        <v>4780.32</v>
      </c>
      <c r="I44" s="235">
        <f>+References!C39</f>
        <v>324</v>
      </c>
      <c r="J44" s="84">
        <f t="shared" si="29"/>
        <v>1548823.68</v>
      </c>
      <c r="K44" s="84">
        <f t="shared" si="30"/>
        <v>1174386.2157907935</v>
      </c>
      <c r="L44" s="96">
        <f ca="1">+K44*References!$D$69</f>
        <v>3288.2814042142181</v>
      </c>
      <c r="M44" s="96">
        <f ca="1">+L44/References!$F$78</f>
        <v>3364.3149214387336</v>
      </c>
      <c r="N44" s="96">
        <f t="shared" ca="1" si="35"/>
        <v>0.70378445824520819</v>
      </c>
      <c r="O44" s="237">
        <f>+'Proposed Rates'!$B$77</f>
        <v>33.001865642904292</v>
      </c>
      <c r="P44" s="96">
        <f t="shared" ca="1" si="31"/>
        <v>33.705650101149502</v>
      </c>
      <c r="Q44" s="96">
        <f ca="1">+'Proposed Rates'!$G$77</f>
        <v>33.705650101149502</v>
      </c>
      <c r="R44" s="96">
        <f t="shared" si="36"/>
        <v>157759.47837008827</v>
      </c>
      <c r="S44" s="96">
        <f t="shared" ca="1" si="37"/>
        <v>161123.79329152696</v>
      </c>
      <c r="T44" s="96">
        <f t="shared" ca="1" si="32"/>
        <v>3364.314921438694</v>
      </c>
      <c r="U44" s="96" t="str">
        <f t="shared" ca="1" si="8"/>
        <v xml:space="preserve"> </v>
      </c>
      <c r="V44" s="97">
        <f ca="1">((I44*$H$115)*(References!$D$69/References!$F$78))</f>
        <v>0.70378445824520819</v>
      </c>
      <c r="W44" s="116">
        <f t="shared" ca="1" si="38"/>
        <v>0</v>
      </c>
    </row>
    <row r="45" spans="1:23" s="83" customFormat="1" ht="13.5" customHeight="1">
      <c r="A45" s="95" t="s">
        <v>127</v>
      </c>
      <c r="B45" s="95" t="s">
        <v>128</v>
      </c>
      <c r="D45" s="108"/>
      <c r="E45" s="110">
        <v>6</v>
      </c>
      <c r="G45" s="97">
        <f>+References!C10</f>
        <v>12.99</v>
      </c>
      <c r="H45" s="219">
        <f t="shared" si="34"/>
        <v>935.28</v>
      </c>
      <c r="I45" s="235">
        <f>+References!C39</f>
        <v>324</v>
      </c>
      <c r="J45" s="84">
        <f t="shared" si="29"/>
        <v>303030.71999999997</v>
      </c>
      <c r="K45" s="84">
        <f t="shared" si="30"/>
        <v>229771.21613298132</v>
      </c>
      <c r="L45" s="96">
        <f ca="1">+K45*References!$D$69</f>
        <v>643.35940517234701</v>
      </c>
      <c r="M45" s="96">
        <f ca="1">+L45/References!$F$78</f>
        <v>658.23552810757826</v>
      </c>
      <c r="N45" s="96">
        <f t="shared" ca="1" si="35"/>
        <v>0.70378445824520819</v>
      </c>
      <c r="O45" s="237">
        <f>+'Proposed Rates'!$B$77</f>
        <v>33.001865642904292</v>
      </c>
      <c r="P45" s="96">
        <f t="shared" ca="1" si="31"/>
        <v>33.705650101149502</v>
      </c>
      <c r="Q45" s="96">
        <f ca="1">+'Proposed Rates'!$G$77</f>
        <v>33.705650101149502</v>
      </c>
      <c r="R45" s="96">
        <f t="shared" si="36"/>
        <v>30865.984898495524</v>
      </c>
      <c r="S45" s="96">
        <f t="shared" ca="1" si="37"/>
        <v>31524.220426603108</v>
      </c>
      <c r="T45" s="96">
        <f t="shared" ca="1" si="32"/>
        <v>658.23552810758338</v>
      </c>
      <c r="U45" s="96" t="str">
        <f t="shared" ca="1" si="8"/>
        <v xml:space="preserve"> </v>
      </c>
      <c r="V45" s="97">
        <f ca="1">((I45*$H$115)*(References!$D$69/References!$F$78))</f>
        <v>0.70378445824520819</v>
      </c>
      <c r="W45" s="116">
        <f t="shared" ca="1" si="38"/>
        <v>0</v>
      </c>
    </row>
    <row r="46" spans="1:23" s="83" customFormat="1" ht="13.5" customHeight="1">
      <c r="A46" s="95" t="s">
        <v>129</v>
      </c>
      <c r="B46" s="95" t="s">
        <v>130</v>
      </c>
      <c r="D46" s="108"/>
      <c r="E46" s="110">
        <v>1</v>
      </c>
      <c r="G46" s="97">
        <f>+References!C9</f>
        <v>17.32</v>
      </c>
      <c r="H46" s="219">
        <f t="shared" si="34"/>
        <v>207.84</v>
      </c>
      <c r="I46" s="235">
        <f>+References!C39</f>
        <v>324</v>
      </c>
      <c r="J46" s="84">
        <f t="shared" si="29"/>
        <v>67340.160000000003</v>
      </c>
      <c r="K46" s="84">
        <f t="shared" si="30"/>
        <v>51060.270251773632</v>
      </c>
      <c r="L46" s="96">
        <f ca="1">+K46*References!$D$69</f>
        <v>142.96875670496601</v>
      </c>
      <c r="M46" s="96">
        <f ca="1">+L46/References!$F$78</f>
        <v>146.27456180168406</v>
      </c>
      <c r="N46" s="96">
        <f t="shared" ca="1" si="35"/>
        <v>0.70378445824520808</v>
      </c>
      <c r="O46" s="237">
        <f>+'Proposed Rates'!$B$77</f>
        <v>33.001865642904292</v>
      </c>
      <c r="P46" s="96">
        <f t="shared" ca="1" si="31"/>
        <v>33.705650101149502</v>
      </c>
      <c r="Q46" s="96">
        <f ca="1">+'Proposed Rates'!$G$77</f>
        <v>33.705650101149502</v>
      </c>
      <c r="R46" s="96">
        <f t="shared" si="36"/>
        <v>6859.1077552212282</v>
      </c>
      <c r="S46" s="96">
        <f t="shared" ca="1" si="37"/>
        <v>7005.3823170229116</v>
      </c>
      <c r="T46" s="96">
        <f t="shared" ca="1" si="32"/>
        <v>146.27456180168338</v>
      </c>
      <c r="U46" s="96" t="str">
        <f t="shared" ca="1" si="8"/>
        <v xml:space="preserve"> </v>
      </c>
      <c r="V46" s="97">
        <f ca="1">((I46*$H$115)*(References!$D$69/References!$F$78))</f>
        <v>0.70378445824520819</v>
      </c>
      <c r="W46" s="116">
        <f t="shared" ca="1" si="38"/>
        <v>0</v>
      </c>
    </row>
    <row r="47" spans="1:23" s="83" customFormat="1" ht="13.5" customHeight="1">
      <c r="A47" s="82" t="s">
        <v>131</v>
      </c>
      <c r="B47" s="95" t="s">
        <v>132</v>
      </c>
      <c r="D47" s="108"/>
      <c r="E47" s="110">
        <v>1</v>
      </c>
      <c r="G47" s="97">
        <f>+References!C8</f>
        <v>21.65</v>
      </c>
      <c r="H47" s="219">
        <f t="shared" si="34"/>
        <v>259.79999999999995</v>
      </c>
      <c r="I47" s="235">
        <f>+References!C39</f>
        <v>324</v>
      </c>
      <c r="J47" s="84">
        <f t="shared" si="29"/>
        <v>84175.199999999983</v>
      </c>
      <c r="K47" s="84">
        <f t="shared" si="30"/>
        <v>63825.33781471703</v>
      </c>
      <c r="L47" s="96">
        <f ca="1">+K47*References!$D$69</f>
        <v>178.71094588120749</v>
      </c>
      <c r="M47" s="96">
        <f ca="1">+L47/References!$F$78</f>
        <v>182.84320225210507</v>
      </c>
      <c r="N47" s="96">
        <f t="shared" ca="1" si="35"/>
        <v>0.7037844582452083</v>
      </c>
      <c r="O47" s="237">
        <f>+'Proposed Rates'!$B$77</f>
        <v>33.001865642904292</v>
      </c>
      <c r="P47" s="96">
        <f t="shared" ca="1" si="31"/>
        <v>33.705650101149502</v>
      </c>
      <c r="Q47" s="96">
        <f ca="1">+'Proposed Rates'!$G$77</f>
        <v>33.705650101149502</v>
      </c>
      <c r="R47" s="96">
        <f t="shared" si="36"/>
        <v>8573.8846940265339</v>
      </c>
      <c r="S47" s="96">
        <f t="shared" ca="1" si="37"/>
        <v>8756.7278962786404</v>
      </c>
      <c r="T47" s="96">
        <f t="shared" ca="1" si="32"/>
        <v>182.84320225210649</v>
      </c>
      <c r="U47" s="96" t="str">
        <f t="shared" ca="1" si="8"/>
        <v xml:space="preserve"> </v>
      </c>
      <c r="V47" s="97">
        <f ca="1">((I47*$H$115)*(References!$D$69/References!$F$78))</f>
        <v>0.70378445824520819</v>
      </c>
      <c r="W47" s="116">
        <f t="shared" ca="1" si="38"/>
        <v>0</v>
      </c>
    </row>
    <row r="48" spans="1:23" s="83" customFormat="1" ht="13.5" customHeight="1">
      <c r="A48" s="95" t="s">
        <v>133</v>
      </c>
      <c r="B48" s="95" t="s">
        <v>134</v>
      </c>
      <c r="D48" s="108"/>
      <c r="E48" s="110">
        <v>401</v>
      </c>
      <c r="G48" s="97">
        <f>+References!C13</f>
        <v>2.17</v>
      </c>
      <c r="H48" s="219">
        <f t="shared" si="34"/>
        <v>10442.039999999999</v>
      </c>
      <c r="I48" s="235">
        <f>+References!C39</f>
        <v>324</v>
      </c>
      <c r="J48" s="84">
        <f t="shared" si="29"/>
        <v>3383220.9599999995</v>
      </c>
      <c r="K48" s="84">
        <f t="shared" si="30"/>
        <v>2565306.8917428325</v>
      </c>
      <c r="L48" s="96">
        <f ca="1">+K48*References!$D$69</f>
        <v>7182.859296879923</v>
      </c>
      <c r="M48" s="96">
        <f ca="1">+L48/References!$F$78</f>
        <v>7348.9454643747931</v>
      </c>
      <c r="N48" s="96">
        <f t="shared" ca="1" si="35"/>
        <v>0.70378445824520819</v>
      </c>
      <c r="O48" s="237">
        <f>+'Proposed Rates'!B77</f>
        <v>33.001865642904292</v>
      </c>
      <c r="P48" s="96">
        <f t="shared" ca="1" si="31"/>
        <v>33.705650101149502</v>
      </c>
      <c r="Q48" s="96">
        <f ca="1">+'Proposed Rates'!G77</f>
        <v>33.705650101149502</v>
      </c>
      <c r="R48" s="96">
        <f t="shared" si="36"/>
        <v>344606.80111783236</v>
      </c>
      <c r="S48" s="96">
        <f t="shared" ca="1" si="37"/>
        <v>351955.7465822071</v>
      </c>
      <c r="T48" s="96">
        <f t="shared" ca="1" si="32"/>
        <v>7348.9454643747304</v>
      </c>
      <c r="U48" s="96" t="str">
        <f t="shared" ca="1" si="8"/>
        <v xml:space="preserve"> </v>
      </c>
      <c r="V48" s="97">
        <f ca="1">((I48*$H$115)*(References!$D$69/References!$F$78))</f>
        <v>0.70378445824520819</v>
      </c>
      <c r="W48" s="116">
        <f t="shared" ca="1" si="38"/>
        <v>0</v>
      </c>
    </row>
    <row r="49" spans="1:23" s="108" customFormat="1" ht="13.5" customHeight="1">
      <c r="A49" s="107" t="s">
        <v>135</v>
      </c>
      <c r="B49" s="107" t="s">
        <v>136</v>
      </c>
      <c r="E49" s="110">
        <v>190</v>
      </c>
      <c r="G49" s="111">
        <f>+References!C12</f>
        <v>4.33</v>
      </c>
      <c r="H49" s="219">
        <f t="shared" si="34"/>
        <v>9872.4000000000015</v>
      </c>
      <c r="I49" s="235">
        <f>+References!C40</f>
        <v>473</v>
      </c>
      <c r="J49" s="110">
        <f t="shared" si="29"/>
        <v>4669645.2000000011</v>
      </c>
      <c r="K49" s="110">
        <f t="shared" si="30"/>
        <v>3540730.3144497667</v>
      </c>
      <c r="L49" s="109">
        <f ca="1">+K49*References!$D$69</f>
        <v>9914.0448804593361</v>
      </c>
      <c r="M49" s="109">
        <f ca="1">+L49/References!$F$78</f>
        <v>10143.283078022647</v>
      </c>
      <c r="N49" s="96">
        <f t="shared" ca="1" si="35"/>
        <v>1.0274384220678503</v>
      </c>
      <c r="O49" s="237">
        <f>+'Proposed Rates'!$B$78</f>
        <v>46.155223608313989</v>
      </c>
      <c r="P49" s="109">
        <f t="shared" ca="1" si="31"/>
        <v>47.182662030381842</v>
      </c>
      <c r="Q49" s="109">
        <f ca="1">+'Proposed Rates'!$G$78</f>
        <v>47.182662030381842</v>
      </c>
      <c r="R49" s="96">
        <f t="shared" si="36"/>
        <v>455662.82955071901</v>
      </c>
      <c r="S49" s="96">
        <f t="shared" ca="1" si="37"/>
        <v>465806.11262874177</v>
      </c>
      <c r="T49" s="109">
        <f t="shared" ca="1" si="32"/>
        <v>10143.283078022767</v>
      </c>
      <c r="U49" s="96" t="str">
        <f t="shared" ca="1" si="8"/>
        <v xml:space="preserve"> </v>
      </c>
      <c r="V49" s="97">
        <f ca="1">((I49*$H$115)*(References!$D$69/References!$F$78))</f>
        <v>1.0274384220678503</v>
      </c>
      <c r="W49" s="116">
        <f t="shared" ca="1" si="38"/>
        <v>0</v>
      </c>
    </row>
    <row r="50" spans="1:23" s="83" customFormat="1" ht="13.5" customHeight="1">
      <c r="A50" s="95" t="s">
        <v>137</v>
      </c>
      <c r="B50" s="95" t="s">
        <v>138</v>
      </c>
      <c r="D50" s="108"/>
      <c r="E50" s="110">
        <v>55</v>
      </c>
      <c r="G50" s="97">
        <f>+References!C11</f>
        <v>8.66</v>
      </c>
      <c r="H50" s="219">
        <f t="shared" si="34"/>
        <v>5715.6</v>
      </c>
      <c r="I50" s="235">
        <f>+References!C40</f>
        <v>473</v>
      </c>
      <c r="J50" s="84">
        <f t="shared" si="29"/>
        <v>2703478.8000000003</v>
      </c>
      <c r="K50" s="84">
        <f t="shared" si="30"/>
        <v>2049896.4978393384</v>
      </c>
      <c r="L50" s="96">
        <f ca="1">+K50*References!$D$69</f>
        <v>5739.7101939501408</v>
      </c>
      <c r="M50" s="96">
        <f ca="1">+L50/References!$F$78</f>
        <v>5872.4270451710054</v>
      </c>
      <c r="N50" s="96">
        <f t="shared" ca="1" si="35"/>
        <v>1.0274384220678503</v>
      </c>
      <c r="O50" s="237">
        <f>+'Proposed Rates'!$B$78</f>
        <v>46.155223608313989</v>
      </c>
      <c r="P50" s="96">
        <f t="shared" ca="1" si="31"/>
        <v>47.182662030381842</v>
      </c>
      <c r="Q50" s="96">
        <f ca="1">+'Proposed Rates'!$G$78</f>
        <v>47.182662030381842</v>
      </c>
      <c r="R50" s="96">
        <f t="shared" si="36"/>
        <v>263804.79605567944</v>
      </c>
      <c r="S50" s="96">
        <f t="shared" ca="1" si="37"/>
        <v>269677.22310085048</v>
      </c>
      <c r="T50" s="96">
        <f t="shared" ca="1" si="32"/>
        <v>5872.4270451710327</v>
      </c>
      <c r="U50" s="96" t="str">
        <f t="shared" ca="1" si="8"/>
        <v xml:space="preserve"> </v>
      </c>
      <c r="V50" s="97">
        <f ca="1">((I50*$H$115)*(References!$D$69/References!$F$78))</f>
        <v>1.0274384220678503</v>
      </c>
      <c r="W50" s="116">
        <f t="shared" ca="1" si="38"/>
        <v>0</v>
      </c>
    </row>
    <row r="51" spans="1:23" s="108" customFormat="1" ht="13.5" customHeight="1">
      <c r="A51" s="107" t="s">
        <v>301</v>
      </c>
      <c r="B51" s="107" t="s">
        <v>138</v>
      </c>
      <c r="E51" s="110">
        <v>1</v>
      </c>
      <c r="G51" s="111">
        <f>+References!C11</f>
        <v>8.66</v>
      </c>
      <c r="H51" s="219">
        <f t="shared" si="34"/>
        <v>103.92</v>
      </c>
      <c r="I51" s="235">
        <f>+References!C40</f>
        <v>473</v>
      </c>
      <c r="J51" s="110">
        <f t="shared" ref="J51" si="39">+H51*I51</f>
        <v>49154.16</v>
      </c>
      <c r="K51" s="110">
        <f t="shared" si="30"/>
        <v>37270.845415260694</v>
      </c>
      <c r="L51" s="109">
        <f ca="1">+K51*References!$D$69</f>
        <v>104.35836716272983</v>
      </c>
      <c r="M51" s="109">
        <f ca="1">+L51/References!$F$78</f>
        <v>106.77140082129101</v>
      </c>
      <c r="N51" s="96">
        <f t="shared" ca="1" si="35"/>
        <v>1.0274384220678503</v>
      </c>
      <c r="O51" s="237">
        <f>+'Proposed Rates'!$B$78</f>
        <v>46.155223608313989</v>
      </c>
      <c r="P51" s="109">
        <f t="shared" ref="P51" ca="1" si="40">+O51+N51</f>
        <v>47.182662030381842</v>
      </c>
      <c r="Q51" s="109">
        <f ca="1">+'Proposed Rates'!$G$78</f>
        <v>47.182662030381842</v>
      </c>
      <c r="R51" s="96">
        <f t="shared" si="36"/>
        <v>4796.45083737599</v>
      </c>
      <c r="S51" s="96">
        <f t="shared" ca="1" si="37"/>
        <v>4903.2222381972806</v>
      </c>
      <c r="T51" s="109">
        <f t="shared" ref="T51" ca="1" si="41">+S51-R51</f>
        <v>106.77140082129063</v>
      </c>
      <c r="U51" s="109" t="str">
        <f t="shared" ca="1" si="8"/>
        <v xml:space="preserve"> </v>
      </c>
      <c r="V51" s="97">
        <f ca="1">((I51*$H$115)*(References!$D$69/References!$F$78))</f>
        <v>1.0274384220678503</v>
      </c>
      <c r="W51" s="116">
        <f t="shared" ca="1" si="38"/>
        <v>0</v>
      </c>
    </row>
    <row r="52" spans="1:23" s="83" customFormat="1" ht="13.5" customHeight="1">
      <c r="A52" s="95" t="s">
        <v>139</v>
      </c>
      <c r="B52" s="95" t="s">
        <v>140</v>
      </c>
      <c r="D52" s="108"/>
      <c r="E52" s="110">
        <v>13</v>
      </c>
      <c r="G52" s="97">
        <f>+References!C10</f>
        <v>12.99</v>
      </c>
      <c r="H52" s="219">
        <f t="shared" si="34"/>
        <v>2026.44</v>
      </c>
      <c r="I52" s="235">
        <f>+References!C40</f>
        <v>473</v>
      </c>
      <c r="J52" s="84">
        <f t="shared" si="29"/>
        <v>958506.12</v>
      </c>
      <c r="K52" s="84">
        <f t="shared" si="30"/>
        <v>726781.48559758347</v>
      </c>
      <c r="L52" s="96">
        <f ca="1">+K52*References!$D$69</f>
        <v>2034.9881596732314</v>
      </c>
      <c r="M52" s="96">
        <f ca="1">+L52/References!$F$78</f>
        <v>2082.042316015174</v>
      </c>
      <c r="N52" s="96">
        <f t="shared" ca="1" si="35"/>
        <v>1.0274384220678501</v>
      </c>
      <c r="O52" s="237">
        <f>+'Proposed Rates'!$B$78</f>
        <v>46.155223608313989</v>
      </c>
      <c r="P52" s="96">
        <f t="shared" ca="1" si="31"/>
        <v>47.182662030381842</v>
      </c>
      <c r="Q52" s="96">
        <f ca="1">+'Proposed Rates'!$G$78</f>
        <v>47.182662030381842</v>
      </c>
      <c r="R52" s="96">
        <f t="shared" si="36"/>
        <v>93530.791328831794</v>
      </c>
      <c r="S52" s="96">
        <f t="shared" ca="1" si="37"/>
        <v>95612.833644846978</v>
      </c>
      <c r="T52" s="96">
        <f t="shared" ca="1" si="32"/>
        <v>2082.042316015184</v>
      </c>
      <c r="U52" s="96" t="str">
        <f t="shared" ca="1" si="8"/>
        <v xml:space="preserve"> </v>
      </c>
      <c r="V52" s="97">
        <f ca="1">((I52*$H$115)*(References!$D$69/References!$F$78))</f>
        <v>1.0274384220678503</v>
      </c>
      <c r="W52" s="116">
        <f t="shared" ca="1" si="38"/>
        <v>0</v>
      </c>
    </row>
    <row r="53" spans="1:23" s="83" customFormat="1" ht="13.5" customHeight="1">
      <c r="A53" s="95" t="s">
        <v>141</v>
      </c>
      <c r="B53" s="95" t="s">
        <v>142</v>
      </c>
      <c r="D53" s="108"/>
      <c r="E53" s="110">
        <v>1</v>
      </c>
      <c r="G53" s="97">
        <f>+References!C9</f>
        <v>17.32</v>
      </c>
      <c r="H53" s="219">
        <f t="shared" si="34"/>
        <v>207.84</v>
      </c>
      <c r="I53" s="235">
        <f>+References!C40</f>
        <v>473</v>
      </c>
      <c r="J53" s="84">
        <f t="shared" si="29"/>
        <v>98308.32</v>
      </c>
      <c r="K53" s="84">
        <f t="shared" si="30"/>
        <v>74541.690830521387</v>
      </c>
      <c r="L53" s="96">
        <f ca="1">+K53*References!$D$69</f>
        <v>208.71673432545967</v>
      </c>
      <c r="M53" s="96">
        <f ca="1">+L53/References!$F$78</f>
        <v>213.54280164258202</v>
      </c>
      <c r="N53" s="96">
        <f t="shared" ca="1" si="35"/>
        <v>1.0274384220678503</v>
      </c>
      <c r="O53" s="237">
        <f>+'Proposed Rates'!$B$78</f>
        <v>46.155223608313989</v>
      </c>
      <c r="P53" s="96">
        <f t="shared" ca="1" si="31"/>
        <v>47.182662030381842</v>
      </c>
      <c r="Q53" s="96">
        <f ca="1">+'Proposed Rates'!$G$78</f>
        <v>47.182662030381842</v>
      </c>
      <c r="R53" s="96">
        <f t="shared" si="36"/>
        <v>9592.90167475198</v>
      </c>
      <c r="S53" s="96">
        <f t="shared" ca="1" si="37"/>
        <v>9806.4444763945612</v>
      </c>
      <c r="T53" s="96">
        <f t="shared" ca="1" si="32"/>
        <v>213.54280164258125</v>
      </c>
      <c r="U53" s="96" t="str">
        <f t="shared" ca="1" si="8"/>
        <v xml:space="preserve"> </v>
      </c>
      <c r="V53" s="97">
        <f ca="1">((I53*$H$115)*(References!$D$69/References!$F$78))</f>
        <v>1.0274384220678503</v>
      </c>
      <c r="W53" s="116">
        <f t="shared" ca="1" si="38"/>
        <v>0</v>
      </c>
    </row>
    <row r="54" spans="1:23" s="83" customFormat="1" ht="13.5" customHeight="1">
      <c r="A54" s="95" t="s">
        <v>143</v>
      </c>
      <c r="B54" s="95" t="s">
        <v>144</v>
      </c>
      <c r="D54" s="108"/>
      <c r="E54" s="110">
        <v>1</v>
      </c>
      <c r="G54" s="97">
        <f>+References!C8</f>
        <v>21.65</v>
      </c>
      <c r="H54" s="219">
        <f t="shared" si="34"/>
        <v>259.79999999999995</v>
      </c>
      <c r="I54" s="235">
        <f>+References!C40</f>
        <v>473</v>
      </c>
      <c r="J54" s="84">
        <f t="shared" si="29"/>
        <v>122885.39999999998</v>
      </c>
      <c r="K54" s="84">
        <f t="shared" si="30"/>
        <v>93177.113538151709</v>
      </c>
      <c r="L54" s="96">
        <f ca="1">+K54*References!$D$69</f>
        <v>260.89591790682448</v>
      </c>
      <c r="M54" s="96">
        <f ca="1">+L54/References!$F$78</f>
        <v>266.92850205322742</v>
      </c>
      <c r="N54" s="96">
        <f t="shared" ca="1" si="35"/>
        <v>1.0274384220678501</v>
      </c>
      <c r="O54" s="237">
        <f>+'Proposed Rates'!$B$78</f>
        <v>46.155223608313989</v>
      </c>
      <c r="P54" s="96">
        <f t="shared" ca="1" si="31"/>
        <v>47.182662030381842</v>
      </c>
      <c r="Q54" s="96">
        <f ca="1">+'Proposed Rates'!$G$78</f>
        <v>47.182662030381842</v>
      </c>
      <c r="R54" s="96">
        <f t="shared" si="36"/>
        <v>11991.127093439973</v>
      </c>
      <c r="S54" s="96">
        <f t="shared" ca="1" si="37"/>
        <v>12258.055595493202</v>
      </c>
      <c r="T54" s="96">
        <f t="shared" ca="1" si="32"/>
        <v>266.92850205322975</v>
      </c>
      <c r="U54" s="96" t="str">
        <f t="shared" ca="1" si="8"/>
        <v xml:space="preserve"> </v>
      </c>
      <c r="V54" s="97">
        <f ca="1">((I54*$H$115)*(References!$D$69/References!$F$78))</f>
        <v>1.0274384220678503</v>
      </c>
      <c r="W54" s="116">
        <f t="shared" ca="1" si="38"/>
        <v>0</v>
      </c>
    </row>
    <row r="55" spans="1:23" s="108" customFormat="1" ht="13.5" customHeight="1">
      <c r="A55" s="220" t="s">
        <v>383</v>
      </c>
      <c r="B55" s="220" t="s">
        <v>302</v>
      </c>
      <c r="E55" s="110">
        <v>1</v>
      </c>
      <c r="G55" s="105">
        <f>+References!C12*6</f>
        <v>25.98</v>
      </c>
      <c r="H55" s="219">
        <f t="shared" si="34"/>
        <v>311.76</v>
      </c>
      <c r="I55" s="235">
        <f>+References!C40</f>
        <v>473</v>
      </c>
      <c r="J55" s="110">
        <f t="shared" ref="J55" si="42">+H55*I55</f>
        <v>147462.47999999998</v>
      </c>
      <c r="K55" s="110">
        <f t="shared" si="30"/>
        <v>111812.53624578206</v>
      </c>
      <c r="L55" s="109">
        <f ca="1">+K55*References!$D$69</f>
        <v>313.07510148818943</v>
      </c>
      <c r="M55" s="109">
        <f ca="1">+L55/References!$F$78</f>
        <v>320.31420246387296</v>
      </c>
      <c r="N55" s="96">
        <f t="shared" ca="1" si="35"/>
        <v>1.0274384220678501</v>
      </c>
      <c r="O55" s="237">
        <f>+'Proposed Rates'!$B$78</f>
        <v>46.155223608313989</v>
      </c>
      <c r="P55" s="109">
        <f t="shared" ref="P55" ca="1" si="43">+O55+N55</f>
        <v>47.182662030381842</v>
      </c>
      <c r="Q55" s="109">
        <f ca="1">+'Proposed Rates'!$G$78</f>
        <v>47.182662030381842</v>
      </c>
      <c r="R55" s="96">
        <f t="shared" si="36"/>
        <v>14389.352512127971</v>
      </c>
      <c r="S55" s="96">
        <f t="shared" ca="1" si="37"/>
        <v>14709.666714591844</v>
      </c>
      <c r="T55" s="109">
        <f t="shared" ref="T55" ca="1" si="44">+S55-R55</f>
        <v>320.31420246387279</v>
      </c>
      <c r="U55" s="109" t="str">
        <f t="shared" ca="1" si="8"/>
        <v xml:space="preserve"> </v>
      </c>
      <c r="V55" s="97">
        <f ca="1">((I55*$H$115)*(References!$D$69/References!$F$78))</f>
        <v>1.0274384220678503</v>
      </c>
      <c r="W55" s="116">
        <f t="shared" ca="1" si="38"/>
        <v>0</v>
      </c>
    </row>
    <row r="56" spans="1:23" s="83" customFormat="1" ht="13.5" customHeight="1">
      <c r="A56" s="95" t="s">
        <v>145</v>
      </c>
      <c r="B56" s="95" t="s">
        <v>146</v>
      </c>
      <c r="D56" s="108"/>
      <c r="E56" s="110">
        <v>35</v>
      </c>
      <c r="G56" s="97">
        <f>+References!C13</f>
        <v>2.17</v>
      </c>
      <c r="H56" s="219">
        <f t="shared" si="34"/>
        <v>911.40000000000009</v>
      </c>
      <c r="I56" s="235">
        <f>+References!C40</f>
        <v>473</v>
      </c>
      <c r="J56" s="84">
        <f t="shared" si="29"/>
        <v>431092.20000000007</v>
      </c>
      <c r="K56" s="84">
        <f t="shared" si="30"/>
        <v>326873.06111882796</v>
      </c>
      <c r="L56" s="96">
        <f ca="1">+K56*References!$D$69</f>
        <v>915.24457113271728</v>
      </c>
      <c r="M56" s="96">
        <f ca="1">+L56/References!$F$78</f>
        <v>936.4073778726389</v>
      </c>
      <c r="N56" s="96">
        <f t="shared" ca="1" si="35"/>
        <v>1.0274384220678503</v>
      </c>
      <c r="O56" s="237">
        <f>+'Proposed Rates'!B78</f>
        <v>46.155223608313989</v>
      </c>
      <c r="P56" s="96">
        <f t="shared" ca="1" si="31"/>
        <v>47.182662030381842</v>
      </c>
      <c r="Q56" s="96">
        <f ca="1">+'Proposed Rates'!G78</f>
        <v>47.182662030381842</v>
      </c>
      <c r="R56" s="96">
        <f t="shared" si="36"/>
        <v>42065.870796617368</v>
      </c>
      <c r="S56" s="96">
        <f t="shared" ca="1" si="37"/>
        <v>43002.278174490013</v>
      </c>
      <c r="T56" s="96">
        <f t="shared" ca="1" si="32"/>
        <v>936.40737787264516</v>
      </c>
      <c r="U56" s="96" t="str">
        <f t="shared" ca="1" si="8"/>
        <v xml:space="preserve"> </v>
      </c>
      <c r="V56" s="97">
        <f ca="1">((I56*$H$115)*(References!$D$69/References!$F$78))</f>
        <v>1.0274384220678503</v>
      </c>
      <c r="W56" s="116">
        <f t="shared" ca="1" si="38"/>
        <v>0</v>
      </c>
    </row>
    <row r="57" spans="1:23" s="108" customFormat="1" ht="13.5" customHeight="1">
      <c r="A57" s="107" t="s">
        <v>147</v>
      </c>
      <c r="B57" s="107" t="s">
        <v>148</v>
      </c>
      <c r="E57" s="110">
        <v>201</v>
      </c>
      <c r="G57" s="111">
        <f>+References!C12</f>
        <v>4.33</v>
      </c>
      <c r="H57" s="219">
        <f t="shared" si="34"/>
        <v>10443.960000000001</v>
      </c>
      <c r="I57" s="235">
        <f>+References!C41</f>
        <v>613</v>
      </c>
      <c r="J57" s="110">
        <f t="shared" si="29"/>
        <v>6402147.4800000004</v>
      </c>
      <c r="K57" s="110">
        <f t="shared" si="30"/>
        <v>4854389.7210893407</v>
      </c>
      <c r="L57" s="109">
        <f ca="1">+K57*References!$D$69</f>
        <v>13592.291219050139</v>
      </c>
      <c r="M57" s="109">
        <f ca="1">+L57/References!$F$78</f>
        <v>13906.57992536335</v>
      </c>
      <c r="N57" s="96">
        <f t="shared" ca="1" si="35"/>
        <v>1.3315428176059032</v>
      </c>
      <c r="O57" s="237">
        <f>+'Proposed Rates'!$B$79</f>
        <v>59.736029750309676</v>
      </c>
      <c r="P57" s="109">
        <f t="shared" ca="1" si="31"/>
        <v>61.067572567915576</v>
      </c>
      <c r="Q57" s="109">
        <f ca="1">+'Proposed Rates'!$G$79</f>
        <v>61.067572567915576</v>
      </c>
      <c r="R57" s="96">
        <f t="shared" si="36"/>
        <v>623880.70527104428</v>
      </c>
      <c r="S57" s="96">
        <f t="shared" ca="1" si="37"/>
        <v>637787.28519640758</v>
      </c>
      <c r="T57" s="109">
        <f t="shared" ca="1" si="32"/>
        <v>13906.579925363301</v>
      </c>
      <c r="U57" s="96" t="str">
        <f t="shared" ca="1" si="8"/>
        <v xml:space="preserve"> </v>
      </c>
      <c r="V57" s="97">
        <f ca="1">((I57*$H$115)*(References!$D$69/References!$F$78))</f>
        <v>1.3315428176059032</v>
      </c>
      <c r="W57" s="116">
        <f t="shared" ca="1" si="38"/>
        <v>0</v>
      </c>
    </row>
    <row r="58" spans="1:23" s="83" customFormat="1" ht="13.5" customHeight="1">
      <c r="A58" s="95" t="s">
        <v>149</v>
      </c>
      <c r="B58" s="95" t="s">
        <v>150</v>
      </c>
      <c r="D58" s="108"/>
      <c r="E58" s="110">
        <v>116</v>
      </c>
      <c r="G58" s="97">
        <f>+References!C11</f>
        <v>8.66</v>
      </c>
      <c r="H58" s="219">
        <f t="shared" si="34"/>
        <v>12054.720000000001</v>
      </c>
      <c r="I58" s="235">
        <f>+References!C41</f>
        <v>613</v>
      </c>
      <c r="J58" s="84">
        <f t="shared" si="29"/>
        <v>7389543.3600000003</v>
      </c>
      <c r="K58" s="84">
        <f t="shared" si="30"/>
        <v>5603076.6929986412</v>
      </c>
      <c r="L58" s="96">
        <f ca="1">+K58*References!$D$69</f>
        <v>15688.614740396179</v>
      </c>
      <c r="M58" s="96">
        <f ca="1">+L58/References!$F$78</f>
        <v>16051.375834250233</v>
      </c>
      <c r="N58" s="96">
        <f t="shared" ca="1" si="35"/>
        <v>1.331542817605903</v>
      </c>
      <c r="O58" s="237">
        <f>+'Proposed Rates'!$B$79</f>
        <v>59.736029750309676</v>
      </c>
      <c r="P58" s="96">
        <f t="shared" ca="1" si="31"/>
        <v>61.067572567915576</v>
      </c>
      <c r="Q58" s="96">
        <f ca="1">+'Proposed Rates'!$G$79</f>
        <v>61.067572567915576</v>
      </c>
      <c r="R58" s="96">
        <f t="shared" si="36"/>
        <v>720101.11255165306</v>
      </c>
      <c r="S58" s="96">
        <f t="shared" ca="1" si="37"/>
        <v>736152.4883859033</v>
      </c>
      <c r="T58" s="96">
        <f t="shared" ca="1" si="32"/>
        <v>16051.375834250241</v>
      </c>
      <c r="U58" s="96" t="str">
        <f t="shared" ca="1" si="8"/>
        <v xml:space="preserve"> </v>
      </c>
      <c r="V58" s="97">
        <f ca="1">((I58*$H$115)*(References!$D$69/References!$F$78))</f>
        <v>1.3315428176059032</v>
      </c>
      <c r="W58" s="116">
        <f t="shared" ca="1" si="38"/>
        <v>0</v>
      </c>
    </row>
    <row r="59" spans="1:23" s="83" customFormat="1" ht="13.5" customHeight="1">
      <c r="A59" s="95" t="s">
        <v>151</v>
      </c>
      <c r="B59" s="95" t="s">
        <v>152</v>
      </c>
      <c r="D59" s="108"/>
      <c r="E59" s="110">
        <v>35</v>
      </c>
      <c r="G59" s="97">
        <f>+References!C10</f>
        <v>12.99</v>
      </c>
      <c r="H59" s="219">
        <f t="shared" si="34"/>
        <v>5455.8</v>
      </c>
      <c r="I59" s="235">
        <f>+References!C41</f>
        <v>613</v>
      </c>
      <c r="J59" s="84">
        <f t="shared" si="29"/>
        <v>3344405.4</v>
      </c>
      <c r="K59" s="84">
        <f t="shared" si="30"/>
        <v>2535875.2274347297</v>
      </c>
      <c r="L59" s="96">
        <f ca="1">+K59*References!$D$69</f>
        <v>7100.4506368172351</v>
      </c>
      <c r="M59" s="96">
        <f ca="1">+L59/References!$F$78</f>
        <v>7264.6313042942857</v>
      </c>
      <c r="N59" s="96">
        <f t="shared" ca="1" si="35"/>
        <v>1.331542817605903</v>
      </c>
      <c r="O59" s="237">
        <f>+'Proposed Rates'!$B$79</f>
        <v>59.736029750309676</v>
      </c>
      <c r="P59" s="96">
        <f t="shared" ca="1" si="31"/>
        <v>61.067572567915576</v>
      </c>
      <c r="Q59" s="96">
        <f ca="1">+'Proposed Rates'!$G$79</f>
        <v>61.067572567915576</v>
      </c>
      <c r="R59" s="96">
        <f t="shared" si="36"/>
        <v>325907.83111173956</v>
      </c>
      <c r="S59" s="96">
        <f t="shared" ca="1" si="37"/>
        <v>333172.46241603384</v>
      </c>
      <c r="T59" s="96">
        <f t="shared" ca="1" si="32"/>
        <v>7264.6313042942784</v>
      </c>
      <c r="U59" s="96" t="str">
        <f t="shared" ca="1" si="8"/>
        <v xml:space="preserve"> </v>
      </c>
      <c r="V59" s="97">
        <f ca="1">((I59*$H$115)*(References!$D$69/References!$F$78))</f>
        <v>1.3315428176059032</v>
      </c>
      <c r="W59" s="116">
        <f t="shared" ca="1" si="38"/>
        <v>0</v>
      </c>
    </row>
    <row r="60" spans="1:23" s="83" customFormat="1" ht="13.5" customHeight="1">
      <c r="A60" s="95" t="s">
        <v>153</v>
      </c>
      <c r="B60" s="95" t="s">
        <v>154</v>
      </c>
      <c r="D60" s="108"/>
      <c r="E60" s="110">
        <v>4</v>
      </c>
      <c r="G60" s="97">
        <f>+References!C9</f>
        <v>17.32</v>
      </c>
      <c r="H60" s="219">
        <f t="shared" si="34"/>
        <v>831.36</v>
      </c>
      <c r="I60" s="235">
        <f>+References!C41</f>
        <v>613</v>
      </c>
      <c r="J60" s="84">
        <f t="shared" si="29"/>
        <v>509623.68</v>
      </c>
      <c r="K60" s="84">
        <f t="shared" si="30"/>
        <v>386419.08227576833</v>
      </c>
      <c r="L60" s="96">
        <f ca="1">+K60*References!$D$69</f>
        <v>1081.9734303721502</v>
      </c>
      <c r="M60" s="96">
        <f ca="1">+L60/References!$F$78</f>
        <v>1106.9914368448437</v>
      </c>
      <c r="N60" s="96">
        <f t="shared" ca="1" si="35"/>
        <v>1.3315428176059032</v>
      </c>
      <c r="O60" s="237">
        <f>+'Proposed Rates'!$B$79</f>
        <v>59.736029750309676</v>
      </c>
      <c r="P60" s="96">
        <f t="shared" ca="1" si="31"/>
        <v>61.067572567915576</v>
      </c>
      <c r="Q60" s="96">
        <f ca="1">+'Proposed Rates'!$G$79</f>
        <v>61.067572567915576</v>
      </c>
      <c r="R60" s="96">
        <f t="shared" si="36"/>
        <v>49662.145693217448</v>
      </c>
      <c r="S60" s="96">
        <f t="shared" ca="1" si="37"/>
        <v>50769.137130062292</v>
      </c>
      <c r="T60" s="96">
        <f t="shared" ca="1" si="32"/>
        <v>1106.9914368448444</v>
      </c>
      <c r="U60" s="96" t="str">
        <f t="shared" ca="1" si="8"/>
        <v xml:space="preserve"> </v>
      </c>
      <c r="V60" s="97">
        <f ca="1">((I60*$H$115)*(References!$D$69/References!$F$78))</f>
        <v>1.3315428176059032</v>
      </c>
      <c r="W60" s="116">
        <f t="shared" ca="1" si="38"/>
        <v>0</v>
      </c>
    </row>
    <row r="61" spans="1:23" s="83" customFormat="1" ht="13.5" customHeight="1">
      <c r="A61" s="95" t="s">
        <v>155</v>
      </c>
      <c r="B61" s="95" t="s">
        <v>156</v>
      </c>
      <c r="D61" s="108"/>
      <c r="E61" s="110">
        <v>3</v>
      </c>
      <c r="G61" s="97">
        <f>+References!C8</f>
        <v>21.65</v>
      </c>
      <c r="H61" s="219">
        <f t="shared" si="34"/>
        <v>779.39999999999986</v>
      </c>
      <c r="I61" s="235">
        <f>+References!C41</f>
        <v>613</v>
      </c>
      <c r="J61" s="84">
        <f t="shared" si="29"/>
        <v>477772.1999999999</v>
      </c>
      <c r="K61" s="84">
        <f t="shared" si="30"/>
        <v>362267.88963353273</v>
      </c>
      <c r="L61" s="96">
        <f ca="1">+K61*References!$D$69</f>
        <v>1014.3500909738906</v>
      </c>
      <c r="M61" s="96">
        <f ca="1">+L61/References!$F$78</f>
        <v>1037.8044720420407</v>
      </c>
      <c r="N61" s="96">
        <f t="shared" ca="1" si="35"/>
        <v>1.3315428176059032</v>
      </c>
      <c r="O61" s="237">
        <f>+'Proposed Rates'!$B$79</f>
        <v>59.736029750309676</v>
      </c>
      <c r="P61" s="96">
        <f t="shared" ca="1" si="31"/>
        <v>61.067572567915576</v>
      </c>
      <c r="Q61" s="96">
        <f ca="1">+'Proposed Rates'!$G$79</f>
        <v>61.067572567915576</v>
      </c>
      <c r="R61" s="96">
        <f t="shared" si="36"/>
        <v>46558.261587391353</v>
      </c>
      <c r="S61" s="96">
        <f t="shared" ca="1" si="37"/>
        <v>47596.066059433397</v>
      </c>
      <c r="T61" s="96">
        <f t="shared" ca="1" si="32"/>
        <v>1037.8044720420439</v>
      </c>
      <c r="U61" s="96" t="str">
        <f t="shared" ca="1" si="8"/>
        <v xml:space="preserve"> </v>
      </c>
      <c r="V61" s="97">
        <f ca="1">((I61*$H$115)*(References!$D$69/References!$F$78))</f>
        <v>1.3315428176059032</v>
      </c>
      <c r="W61" s="116">
        <f t="shared" ca="1" si="38"/>
        <v>0</v>
      </c>
    </row>
    <row r="62" spans="1:23" s="83" customFormat="1" ht="13.5" customHeight="1">
      <c r="A62" s="95" t="s">
        <v>157</v>
      </c>
      <c r="B62" s="95" t="s">
        <v>158</v>
      </c>
      <c r="D62" s="108"/>
      <c r="E62" s="110">
        <v>1</v>
      </c>
      <c r="G62" s="105">
        <f>+References!C12*6</f>
        <v>25.98</v>
      </c>
      <c r="H62" s="219">
        <f t="shared" si="34"/>
        <v>311.76</v>
      </c>
      <c r="I62" s="235">
        <f>+References!C41</f>
        <v>613</v>
      </c>
      <c r="J62" s="84">
        <f t="shared" si="29"/>
        <v>191108.88</v>
      </c>
      <c r="K62" s="84">
        <f t="shared" si="30"/>
        <v>144907.15585341313</v>
      </c>
      <c r="L62" s="96">
        <f ca="1">+K62*References!$D$69</f>
        <v>405.74003638955634</v>
      </c>
      <c r="M62" s="96">
        <f ca="1">+L62/References!$F$78</f>
        <v>415.12178881681638</v>
      </c>
      <c r="N62" s="96">
        <f t="shared" ca="1" si="35"/>
        <v>1.3315428176059032</v>
      </c>
      <c r="O62" s="237">
        <f>+'Proposed Rates'!$B$79</f>
        <v>59.736029750309676</v>
      </c>
      <c r="P62" s="96">
        <f t="shared" ca="1" si="31"/>
        <v>61.067572567915576</v>
      </c>
      <c r="Q62" s="96">
        <f ca="1">+'Proposed Rates'!$G$79</f>
        <v>61.067572567915576</v>
      </c>
      <c r="R62" s="96">
        <f t="shared" si="36"/>
        <v>18623.304634956545</v>
      </c>
      <c r="S62" s="96">
        <f t="shared" ca="1" si="37"/>
        <v>19038.426423773359</v>
      </c>
      <c r="T62" s="96">
        <f t="shared" ca="1" si="32"/>
        <v>415.12178881681393</v>
      </c>
      <c r="U62" s="96" t="str">
        <f t="shared" ca="1" si="8"/>
        <v xml:space="preserve"> </v>
      </c>
      <c r="V62" s="97">
        <f ca="1">((I62*$H$115)*(References!$D$69/References!$F$78))</f>
        <v>1.3315428176059032</v>
      </c>
      <c r="W62" s="116">
        <f t="shared" ca="1" si="38"/>
        <v>0</v>
      </c>
    </row>
    <row r="63" spans="1:23" s="83" customFormat="1" ht="13.5" customHeight="1">
      <c r="A63" s="95" t="s">
        <v>159</v>
      </c>
      <c r="B63" s="95" t="s">
        <v>160</v>
      </c>
      <c r="D63" s="108"/>
      <c r="E63" s="110">
        <v>24</v>
      </c>
      <c r="G63" s="97">
        <f>+References!C13</f>
        <v>2.17</v>
      </c>
      <c r="H63" s="219">
        <f t="shared" si="34"/>
        <v>624.96</v>
      </c>
      <c r="I63" s="235">
        <f>+References!C41</f>
        <v>613</v>
      </c>
      <c r="J63" s="84">
        <f t="shared" si="29"/>
        <v>383100.48000000004</v>
      </c>
      <c r="K63" s="84">
        <f t="shared" si="30"/>
        <v>290483.62882393214</v>
      </c>
      <c r="L63" s="96">
        <f ca="1">+K63*References!$D$69</f>
        <v>813.3541607070091</v>
      </c>
      <c r="M63" s="96">
        <f ca="1">+L63/References!$F$78</f>
        <v>832.16099929098527</v>
      </c>
      <c r="N63" s="96">
        <f t="shared" ca="1" si="35"/>
        <v>1.3315428176059032</v>
      </c>
      <c r="O63" s="237">
        <f>+'Proposed Rates'!B79</f>
        <v>59.736029750309676</v>
      </c>
      <c r="P63" s="96">
        <f t="shared" ca="1" si="31"/>
        <v>61.067572567915576</v>
      </c>
      <c r="Q63" s="96">
        <f ca="1">+'Proposed Rates'!G79</f>
        <v>61.067572567915576</v>
      </c>
      <c r="R63" s="96">
        <f t="shared" si="36"/>
        <v>37332.629152753529</v>
      </c>
      <c r="S63" s="96">
        <f t="shared" ca="1" si="37"/>
        <v>38164.790152044516</v>
      </c>
      <c r="T63" s="96">
        <f t="shared" ca="1" si="32"/>
        <v>832.16099929098709</v>
      </c>
      <c r="U63" s="96" t="str">
        <f t="shared" ca="1" si="8"/>
        <v xml:space="preserve"> </v>
      </c>
      <c r="V63" s="97">
        <f ca="1">((I63*$H$115)*(References!$D$69/References!$F$78))</f>
        <v>1.3315428176059032</v>
      </c>
      <c r="W63" s="116">
        <f t="shared" ca="1" si="38"/>
        <v>0</v>
      </c>
    </row>
    <row r="64" spans="1:23" s="108" customFormat="1" ht="13.5" customHeight="1">
      <c r="A64" s="107" t="s">
        <v>161</v>
      </c>
      <c r="B64" s="107" t="s">
        <v>162</v>
      </c>
      <c r="E64" s="110">
        <v>3</v>
      </c>
      <c r="G64" s="111">
        <f>+References!C12</f>
        <v>4.33</v>
      </c>
      <c r="H64" s="219">
        <f t="shared" si="34"/>
        <v>155.88</v>
      </c>
      <c r="I64" s="235">
        <f>+References!C42</f>
        <v>728</v>
      </c>
      <c r="J64" s="110">
        <f t="shared" si="29"/>
        <v>113480.64</v>
      </c>
      <c r="K64" s="110">
        <f t="shared" si="30"/>
        <v>86046.01097984075</v>
      </c>
      <c r="L64" s="109">
        <f ca="1">+K64*References!$D$69</f>
        <v>240.92883074355385</v>
      </c>
      <c r="M64" s="109">
        <f ca="1">+L64/References!$F$78</f>
        <v>246.49972451765279</v>
      </c>
      <c r="N64" s="96">
        <f t="shared" ca="1" si="35"/>
        <v>1.5813428567978753</v>
      </c>
      <c r="O64" s="237">
        <f>+'Proposed Rates'!$B$80</f>
        <v>73.164191938377556</v>
      </c>
      <c r="P64" s="109">
        <f t="shared" ca="1" si="31"/>
        <v>74.745534795175431</v>
      </c>
      <c r="Q64" s="109">
        <f ca="1">+'Proposed Rates'!$G$80</f>
        <v>74.745534795175431</v>
      </c>
      <c r="R64" s="96">
        <f t="shared" si="36"/>
        <v>11404.834239354293</v>
      </c>
      <c r="S64" s="96">
        <f t="shared" ca="1" si="37"/>
        <v>11651.333963871944</v>
      </c>
      <c r="T64" s="109">
        <f t="shared" ca="1" si="32"/>
        <v>246.49972451765098</v>
      </c>
      <c r="U64" s="96" t="str">
        <f t="shared" ca="1" si="8"/>
        <v xml:space="preserve"> </v>
      </c>
      <c r="V64" s="97">
        <f ca="1">((I64*$H$115)*(References!$D$69/References!$F$78))</f>
        <v>1.5813428567978751</v>
      </c>
      <c r="W64" s="116">
        <f t="shared" ca="1" si="38"/>
        <v>0</v>
      </c>
    </row>
    <row r="65" spans="1:23" s="83" customFormat="1" ht="13.5" customHeight="1">
      <c r="A65" s="95" t="s">
        <v>163</v>
      </c>
      <c r="B65" s="95" t="s">
        <v>164</v>
      </c>
      <c r="D65" s="108"/>
      <c r="E65" s="110">
        <v>1</v>
      </c>
      <c r="G65" s="97">
        <f>+References!C13</f>
        <v>2.17</v>
      </c>
      <c r="H65" s="219">
        <f t="shared" si="34"/>
        <v>26.04</v>
      </c>
      <c r="I65" s="235">
        <f>+References!C42</f>
        <v>728</v>
      </c>
      <c r="J65" s="84">
        <f t="shared" si="29"/>
        <v>18957.12</v>
      </c>
      <c r="K65" s="84">
        <f t="shared" si="30"/>
        <v>14374.121926578477</v>
      </c>
      <c r="L65" s="96">
        <f ca="1">+K65*References!$D$69</f>
        <v>40.247541394419692</v>
      </c>
      <c r="M65" s="96">
        <f ca="1">+L65/References!$F$78</f>
        <v>41.178167991016664</v>
      </c>
      <c r="N65" s="96">
        <f t="shared" ca="1" si="35"/>
        <v>1.5813428567978751</v>
      </c>
      <c r="O65" s="237">
        <f>+'Proposed Rates'!B80</f>
        <v>73.164191938377556</v>
      </c>
      <c r="P65" s="96">
        <f t="shared" ca="1" si="31"/>
        <v>74.745534795175431</v>
      </c>
      <c r="Q65" s="96">
        <f ca="1">+'Proposed Rates'!G80</f>
        <v>74.745534795175431</v>
      </c>
      <c r="R65" s="96">
        <f t="shared" si="36"/>
        <v>1905.1955580753515</v>
      </c>
      <c r="S65" s="96">
        <f t="shared" ca="1" si="37"/>
        <v>1946.3737260663679</v>
      </c>
      <c r="T65" s="96">
        <f t="shared" ca="1" si="32"/>
        <v>41.17816799101638</v>
      </c>
      <c r="U65" s="96" t="str">
        <f t="shared" ca="1" si="8"/>
        <v xml:space="preserve"> </v>
      </c>
      <c r="V65" s="97">
        <f ca="1">((I65*$H$115)*(References!$D$69/References!$F$78))</f>
        <v>1.5813428567978751</v>
      </c>
      <c r="W65" s="116">
        <f t="shared" ca="1" si="38"/>
        <v>0</v>
      </c>
    </row>
    <row r="66" spans="1:23" s="108" customFormat="1" ht="13.5" customHeight="1">
      <c r="A66" s="107" t="s">
        <v>165</v>
      </c>
      <c r="B66" s="107" t="s">
        <v>166</v>
      </c>
      <c r="E66" s="110">
        <v>79</v>
      </c>
      <c r="G66" s="111">
        <f>+References!C12</f>
        <v>4.33</v>
      </c>
      <c r="H66" s="219">
        <f t="shared" si="34"/>
        <v>4104.84</v>
      </c>
      <c r="I66" s="235">
        <f>+References!C43</f>
        <v>840</v>
      </c>
      <c r="J66" s="110">
        <f t="shared" si="29"/>
        <v>3448065.6</v>
      </c>
      <c r="K66" s="110">
        <f t="shared" si="30"/>
        <v>2614474.9490028536</v>
      </c>
      <c r="L66" s="109">
        <f ca="1">+K66*References!$D$69</f>
        <v>7320.5298572079819</v>
      </c>
      <c r="M66" s="109">
        <f ca="1">+L66/References!$F$78</f>
        <v>7489.7993218825268</v>
      </c>
      <c r="N66" s="96">
        <f t="shared" ca="1" si="35"/>
        <v>1.8246263732283174</v>
      </c>
      <c r="O66" s="237">
        <f>+'Proposed Rates'!$B$81</f>
        <v>86.484836851974094</v>
      </c>
      <c r="P66" s="109">
        <f t="shared" ca="1" si="31"/>
        <v>88.309463225202407</v>
      </c>
      <c r="Q66" s="109">
        <f ca="1">+'Proposed Rates'!$G$81</f>
        <v>88.309463225202407</v>
      </c>
      <c r="R66" s="96">
        <f t="shared" si="36"/>
        <v>355006.41770345729</v>
      </c>
      <c r="S66" s="96">
        <f t="shared" ca="1" si="37"/>
        <v>362496.21702533989</v>
      </c>
      <c r="T66" s="109">
        <f t="shared" ca="1" si="32"/>
        <v>7489.7993218826014</v>
      </c>
      <c r="U66" s="96" t="str">
        <f t="shared" ca="1" si="8"/>
        <v xml:space="preserve"> </v>
      </c>
      <c r="V66" s="97">
        <f ca="1">((I66*$H$115)*(References!$D$69/References!$F$78))</f>
        <v>1.8246263732283177</v>
      </c>
      <c r="W66" s="116">
        <f t="shared" ca="1" si="38"/>
        <v>0</v>
      </c>
    </row>
    <row r="67" spans="1:23" s="83" customFormat="1" ht="13.5" customHeight="1">
      <c r="A67" s="95" t="s">
        <v>167</v>
      </c>
      <c r="B67" s="95" t="s">
        <v>168</v>
      </c>
      <c r="D67" s="108"/>
      <c r="E67" s="110">
        <v>27</v>
      </c>
      <c r="G67" s="97">
        <f>+References!C11</f>
        <v>8.66</v>
      </c>
      <c r="H67" s="219">
        <f t="shared" si="34"/>
        <v>2805.84</v>
      </c>
      <c r="I67" s="235">
        <f>+References!C43</f>
        <v>840</v>
      </c>
      <c r="J67" s="84">
        <f t="shared" si="29"/>
        <v>2356905.6</v>
      </c>
      <c r="K67" s="84">
        <f t="shared" si="30"/>
        <v>1787109.4588120773</v>
      </c>
      <c r="L67" s="96">
        <f ca="1">+K67*References!$D$69</f>
        <v>5003.9064846738111</v>
      </c>
      <c r="M67" s="96">
        <f ca="1">+L67/References!$F$78</f>
        <v>5119.6096630589427</v>
      </c>
      <c r="N67" s="96">
        <f t="shared" ca="1" si="35"/>
        <v>1.8246263732283174</v>
      </c>
      <c r="O67" s="237">
        <f>+'Proposed Rates'!$B$81</f>
        <v>86.484836851974094</v>
      </c>
      <c r="P67" s="96">
        <f t="shared" ca="1" si="31"/>
        <v>88.309463225202407</v>
      </c>
      <c r="Q67" s="96">
        <f ca="1">+'Proposed Rates'!$G$81</f>
        <v>88.309463225202407</v>
      </c>
      <c r="R67" s="96">
        <f t="shared" si="36"/>
        <v>242662.614632743</v>
      </c>
      <c r="S67" s="96">
        <f t="shared" ca="1" si="37"/>
        <v>247782.22429580195</v>
      </c>
      <c r="T67" s="96">
        <f t="shared" ca="1" si="32"/>
        <v>5119.6096630589454</v>
      </c>
      <c r="U67" s="96" t="str">
        <f t="shared" ca="1" si="8"/>
        <v xml:space="preserve"> </v>
      </c>
      <c r="V67" s="97">
        <f ca="1">((I67*$H$115)*(References!$D$69/References!$F$78))</f>
        <v>1.8246263732283177</v>
      </c>
      <c r="W67" s="116">
        <f t="shared" ca="1" si="38"/>
        <v>0</v>
      </c>
    </row>
    <row r="68" spans="1:23" s="83" customFormat="1" ht="13.5" customHeight="1">
      <c r="A68" s="95" t="s">
        <v>169</v>
      </c>
      <c r="B68" s="95" t="s">
        <v>170</v>
      </c>
      <c r="D68" s="108"/>
      <c r="E68" s="110">
        <v>10</v>
      </c>
      <c r="G68" s="97">
        <f>+References!C10</f>
        <v>12.99</v>
      </c>
      <c r="H68" s="219">
        <f t="shared" si="34"/>
        <v>1558.8000000000002</v>
      </c>
      <c r="I68" s="235">
        <f>+References!C43</f>
        <v>840</v>
      </c>
      <c r="J68" s="84">
        <f t="shared" si="29"/>
        <v>1309392.0000000002</v>
      </c>
      <c r="K68" s="84">
        <f t="shared" si="30"/>
        <v>992838.58822893188</v>
      </c>
      <c r="L68" s="96">
        <f ca="1">+K68*References!$D$69</f>
        <v>2779.9480470410062</v>
      </c>
      <c r="M68" s="96">
        <f ca="1">+L68/References!$F$78</f>
        <v>2844.2275905883016</v>
      </c>
      <c r="N68" s="96">
        <f t="shared" ca="1" si="35"/>
        <v>1.8246263732283174</v>
      </c>
      <c r="O68" s="237">
        <f>+'Proposed Rates'!$B$81</f>
        <v>86.484836851974094</v>
      </c>
      <c r="P68" s="96">
        <f t="shared" ca="1" si="31"/>
        <v>88.309463225202407</v>
      </c>
      <c r="Q68" s="96">
        <f ca="1">+'Proposed Rates'!$G$81</f>
        <v>88.309463225202407</v>
      </c>
      <c r="R68" s="96">
        <f t="shared" si="36"/>
        <v>134812.56368485722</v>
      </c>
      <c r="S68" s="96">
        <f t="shared" ca="1" si="37"/>
        <v>137656.79127544552</v>
      </c>
      <c r="T68" s="96">
        <f t="shared" ca="1" si="32"/>
        <v>2844.2275905882998</v>
      </c>
      <c r="U68" s="96" t="str">
        <f t="shared" ca="1" si="8"/>
        <v xml:space="preserve"> </v>
      </c>
      <c r="V68" s="97">
        <f ca="1">((I68*$H$115)*(References!$D$69/References!$F$78))</f>
        <v>1.8246263732283177</v>
      </c>
      <c r="W68" s="116">
        <f t="shared" ca="1" si="38"/>
        <v>0</v>
      </c>
    </row>
    <row r="69" spans="1:23" s="108" customFormat="1" ht="13.5" customHeight="1">
      <c r="A69" s="220" t="s">
        <v>384</v>
      </c>
      <c r="B69" s="220" t="s">
        <v>303</v>
      </c>
      <c r="E69" s="110">
        <v>1</v>
      </c>
      <c r="G69" s="111">
        <f>+References!C9</f>
        <v>17.32</v>
      </c>
      <c r="H69" s="219">
        <f t="shared" si="34"/>
        <v>207.84</v>
      </c>
      <c r="I69" s="235">
        <f>+References!C43</f>
        <v>840</v>
      </c>
      <c r="J69" s="110">
        <f t="shared" ref="J69" si="45">+H69*I69</f>
        <v>174585.60000000001</v>
      </c>
      <c r="K69" s="110">
        <f t="shared" ref="K69:K96" si="46">+J69*$H$115</f>
        <v>132378.47843052424</v>
      </c>
      <c r="L69" s="109">
        <f ca="1">+K69*References!$D$69</f>
        <v>370.65973960546745</v>
      </c>
      <c r="M69" s="109">
        <f ca="1">+L69/References!$F$78</f>
        <v>379.2303454117735</v>
      </c>
      <c r="N69" s="96">
        <f t="shared" ca="1" si="35"/>
        <v>1.8246263732283174</v>
      </c>
      <c r="O69" s="237">
        <f>+'Proposed Rates'!$B$81</f>
        <v>86.484836851974094</v>
      </c>
      <c r="P69" s="109">
        <f t="shared" ref="P69" ca="1" si="47">+O69+N69</f>
        <v>88.309463225202407</v>
      </c>
      <c r="Q69" s="109">
        <f ca="1">+'Proposed Rates'!$G$81</f>
        <v>88.309463225202407</v>
      </c>
      <c r="R69" s="96">
        <f t="shared" si="36"/>
        <v>17975.008491314296</v>
      </c>
      <c r="S69" s="96">
        <f t="shared" ca="1" si="37"/>
        <v>18354.238836726068</v>
      </c>
      <c r="T69" s="109">
        <f t="shared" ref="T69" ca="1" si="48">+S69-R69</f>
        <v>379.23034541177185</v>
      </c>
      <c r="U69" s="109" t="str">
        <f t="shared" ca="1" si="8"/>
        <v xml:space="preserve"> </v>
      </c>
      <c r="V69" s="97">
        <f ca="1">((I69*$H$115)*(References!$D$69/References!$F$78))</f>
        <v>1.8246263732283177</v>
      </c>
      <c r="W69" s="116">
        <f t="shared" ca="1" si="38"/>
        <v>0</v>
      </c>
    </row>
    <row r="70" spans="1:23" s="83" customFormat="1" ht="13.5" customHeight="1">
      <c r="A70" s="95" t="s">
        <v>171</v>
      </c>
      <c r="B70" s="95" t="s">
        <v>172</v>
      </c>
      <c r="D70" s="108"/>
      <c r="E70" s="110">
        <v>16</v>
      </c>
      <c r="G70" s="97">
        <f>+References!C13</f>
        <v>2.17</v>
      </c>
      <c r="H70" s="219">
        <f t="shared" si="34"/>
        <v>416.64</v>
      </c>
      <c r="I70" s="235">
        <f>+References!C43</f>
        <v>840</v>
      </c>
      <c r="J70" s="84">
        <f t="shared" si="29"/>
        <v>349977.59999999998</v>
      </c>
      <c r="K70" s="84">
        <f t="shared" si="46"/>
        <v>265368.40479837189</v>
      </c>
      <c r="L70" s="96">
        <f ca="1">+K70*References!$D$69</f>
        <v>743.03153343544045</v>
      </c>
      <c r="M70" s="96">
        <f ca="1">+L70/References!$F$78</f>
        <v>760.2123321418461</v>
      </c>
      <c r="N70" s="96">
        <f t="shared" ca="1" si="35"/>
        <v>1.8246263732283172</v>
      </c>
      <c r="O70" s="237">
        <f>+'Proposed Rates'!B81</f>
        <v>86.484836851974094</v>
      </c>
      <c r="P70" s="96">
        <f t="shared" ca="1" si="31"/>
        <v>88.309463225202407</v>
      </c>
      <c r="Q70" s="96">
        <f ca="1">+'Proposed Rates'!G81</f>
        <v>88.309463225202407</v>
      </c>
      <c r="R70" s="96">
        <f t="shared" si="36"/>
        <v>36033.042426006483</v>
      </c>
      <c r="S70" s="96">
        <f t="shared" ca="1" si="37"/>
        <v>36793.25475814833</v>
      </c>
      <c r="T70" s="96">
        <f t="shared" ca="1" si="32"/>
        <v>760.21233214184758</v>
      </c>
      <c r="U70" s="96" t="str">
        <f t="shared" ca="1" si="8"/>
        <v xml:space="preserve"> </v>
      </c>
      <c r="V70" s="97">
        <f ca="1">((I70*$H$115)*(References!$D$69/References!$F$78))</f>
        <v>1.8246263732283177</v>
      </c>
      <c r="W70" s="116">
        <f t="shared" ca="1" si="38"/>
        <v>0</v>
      </c>
    </row>
    <row r="71" spans="1:23" s="108" customFormat="1" ht="13.5" customHeight="1">
      <c r="A71" s="107" t="s">
        <v>173</v>
      </c>
      <c r="B71" s="107" t="s">
        <v>174</v>
      </c>
      <c r="E71" s="110">
        <v>53</v>
      </c>
      <c r="G71" s="111">
        <f>+References!C12</f>
        <v>4.33</v>
      </c>
      <c r="H71" s="219">
        <f t="shared" si="34"/>
        <v>2753.88</v>
      </c>
      <c r="I71" s="235">
        <f>+References!C44</f>
        <v>980</v>
      </c>
      <c r="J71" s="110">
        <f t="shared" si="29"/>
        <v>2698802.4</v>
      </c>
      <c r="K71" s="110">
        <f t="shared" si="46"/>
        <v>2046350.6457385204</v>
      </c>
      <c r="L71" s="109">
        <f ca="1">+K71*References!$D$69</f>
        <v>5729.7818080678508</v>
      </c>
      <c r="M71" s="109">
        <f ca="1">+L71/References!$F$78</f>
        <v>5862.2690894903317</v>
      </c>
      <c r="N71" s="96">
        <f t="shared" ca="1" si="35"/>
        <v>2.1287307687663701</v>
      </c>
      <c r="O71" s="237">
        <f>+'Proposed Rates'!$B$82</f>
        <v>112.33564299396978</v>
      </c>
      <c r="P71" s="109">
        <f t="shared" ref="P71:P100" ca="1" si="49">+O71+N71</f>
        <v>114.46437376273616</v>
      </c>
      <c r="Q71" s="109">
        <f ca="1">+'Proposed Rates'!$G$82</f>
        <v>114.46437376273616</v>
      </c>
      <c r="R71" s="96">
        <f t="shared" si="36"/>
        <v>309358.88052823348</v>
      </c>
      <c r="S71" s="96">
        <f t="shared" ca="1" si="37"/>
        <v>315221.14961772383</v>
      </c>
      <c r="T71" s="109">
        <f t="shared" ref="T71:T100" ca="1" si="50">+S71-R71</f>
        <v>5862.2690894903499</v>
      </c>
      <c r="U71" s="96" t="str">
        <f t="shared" ca="1" si="8"/>
        <v xml:space="preserve"> </v>
      </c>
      <c r="V71" s="97">
        <f ca="1">((I71*$H$115)*(References!$D$69/References!$F$78))</f>
        <v>2.1287307687663706</v>
      </c>
      <c r="W71" s="116">
        <f t="shared" ca="1" si="38"/>
        <v>0</v>
      </c>
    </row>
    <row r="72" spans="1:23" s="83" customFormat="1" ht="13.5" customHeight="1">
      <c r="A72" s="95" t="s">
        <v>175</v>
      </c>
      <c r="B72" s="95" t="s">
        <v>176</v>
      </c>
      <c r="D72" s="108"/>
      <c r="E72" s="110">
        <v>18</v>
      </c>
      <c r="G72" s="97">
        <f>+References!C11</f>
        <v>8.66</v>
      </c>
      <c r="H72" s="219">
        <f t="shared" si="34"/>
        <v>1870.56</v>
      </c>
      <c r="I72" s="235">
        <f>+References!C44</f>
        <v>980</v>
      </c>
      <c r="J72" s="84">
        <f t="shared" si="29"/>
        <v>1833148.8</v>
      </c>
      <c r="K72" s="84">
        <f t="shared" si="46"/>
        <v>1389974.0235205046</v>
      </c>
      <c r="L72" s="96">
        <f ca="1">+K72*References!$D$69</f>
        <v>3891.9272658574087</v>
      </c>
      <c r="M72" s="96">
        <f ca="1">+L72/References!$F$78</f>
        <v>3981.9186268236222</v>
      </c>
      <c r="N72" s="96">
        <f t="shared" ca="1" si="35"/>
        <v>2.1287307687663706</v>
      </c>
      <c r="O72" s="237">
        <f>+'Proposed Rates'!$B$82</f>
        <v>112.33564299396978</v>
      </c>
      <c r="P72" s="96">
        <f t="shared" ca="1" si="49"/>
        <v>114.46437376273616</v>
      </c>
      <c r="Q72" s="96">
        <f ca="1">+'Proposed Rates'!$G$82</f>
        <v>114.46437376273616</v>
      </c>
      <c r="R72" s="96">
        <f t="shared" si="36"/>
        <v>210130.56035880011</v>
      </c>
      <c r="S72" s="96">
        <f t="shared" ca="1" si="37"/>
        <v>214112.47898562375</v>
      </c>
      <c r="T72" s="96">
        <f t="shared" ca="1" si="50"/>
        <v>3981.9186268236372</v>
      </c>
      <c r="U72" s="96" t="str">
        <f t="shared" ca="1" si="8"/>
        <v xml:space="preserve"> </v>
      </c>
      <c r="V72" s="97">
        <f ca="1">((I72*$H$115)*(References!$D$69/References!$F$78))</f>
        <v>2.1287307687663706</v>
      </c>
      <c r="W72" s="116">
        <f t="shared" ca="1" si="38"/>
        <v>0</v>
      </c>
    </row>
    <row r="73" spans="1:23" s="83" customFormat="1" ht="13.5" customHeight="1">
      <c r="A73" s="95" t="s">
        <v>177</v>
      </c>
      <c r="B73" s="95" t="s">
        <v>178</v>
      </c>
      <c r="D73" s="108"/>
      <c r="E73" s="110">
        <v>9</v>
      </c>
      <c r="G73" s="97">
        <f>+References!C10</f>
        <v>12.99</v>
      </c>
      <c r="H73" s="219">
        <f t="shared" si="34"/>
        <v>1402.92</v>
      </c>
      <c r="I73" s="235">
        <f>+References!C44</f>
        <v>980</v>
      </c>
      <c r="J73" s="84">
        <f t="shared" si="29"/>
        <v>1374861.6</v>
      </c>
      <c r="K73" s="84">
        <f t="shared" si="46"/>
        <v>1042480.5176403784</v>
      </c>
      <c r="L73" s="96">
        <f ca="1">+K73*References!$D$69</f>
        <v>2918.9454493930566</v>
      </c>
      <c r="M73" s="96">
        <f ca="1">+L73/References!$F$78</f>
        <v>2986.438970117717</v>
      </c>
      <c r="N73" s="96">
        <f t="shared" ca="1" si="35"/>
        <v>2.1287307687663706</v>
      </c>
      <c r="O73" s="237">
        <f>+'Proposed Rates'!$B$82</f>
        <v>112.33564299396978</v>
      </c>
      <c r="P73" s="96">
        <f t="shared" ca="1" si="49"/>
        <v>114.46437376273616</v>
      </c>
      <c r="Q73" s="96">
        <f ca="1">+'Proposed Rates'!$G$82</f>
        <v>114.46437376273616</v>
      </c>
      <c r="R73" s="96">
        <f t="shared" si="36"/>
        <v>157597.92026910011</v>
      </c>
      <c r="S73" s="96">
        <f t="shared" ca="1" si="37"/>
        <v>160584.35923921783</v>
      </c>
      <c r="T73" s="96">
        <f t="shared" ca="1" si="50"/>
        <v>2986.4389701177133</v>
      </c>
      <c r="U73" s="96" t="str">
        <f t="shared" ca="1" si="8"/>
        <v xml:space="preserve"> </v>
      </c>
      <c r="V73" s="97">
        <f ca="1">((I73*$H$115)*(References!$D$69/References!$F$78))</f>
        <v>2.1287307687663706</v>
      </c>
      <c r="W73" s="116">
        <f t="shared" ca="1" si="38"/>
        <v>0</v>
      </c>
    </row>
    <row r="74" spans="1:23" s="83" customFormat="1" ht="13.5" customHeight="1">
      <c r="A74" s="95" t="s">
        <v>179</v>
      </c>
      <c r="B74" s="95" t="s">
        <v>180</v>
      </c>
      <c r="D74" s="108"/>
      <c r="E74" s="110">
        <v>1</v>
      </c>
      <c r="G74" s="97">
        <f>+References!C9</f>
        <v>17.32</v>
      </c>
      <c r="H74" s="219">
        <f t="shared" si="34"/>
        <v>207.84</v>
      </c>
      <c r="I74" s="235">
        <f>+References!C44</f>
        <v>980</v>
      </c>
      <c r="J74" s="84">
        <f t="shared" si="29"/>
        <v>203683.20000000001</v>
      </c>
      <c r="K74" s="84">
        <f t="shared" si="46"/>
        <v>154441.55816894496</v>
      </c>
      <c r="L74" s="96">
        <f ca="1">+K74*References!$D$69</f>
        <v>432.43636287304543</v>
      </c>
      <c r="M74" s="96">
        <f ca="1">+L74/References!$F$78</f>
        <v>442.4354029804025</v>
      </c>
      <c r="N74" s="96">
        <f t="shared" ca="1" si="35"/>
        <v>2.1287307687663706</v>
      </c>
      <c r="O74" s="237">
        <f>+'Proposed Rates'!$B$82</f>
        <v>112.33564299396978</v>
      </c>
      <c r="P74" s="96">
        <f t="shared" ca="1" si="49"/>
        <v>114.46437376273616</v>
      </c>
      <c r="Q74" s="96">
        <f ca="1">+'Proposed Rates'!$G$82</f>
        <v>114.46437376273616</v>
      </c>
      <c r="R74" s="96">
        <f t="shared" si="36"/>
        <v>23347.840039866682</v>
      </c>
      <c r="S74" s="96">
        <f t="shared" ca="1" si="37"/>
        <v>23790.275442847083</v>
      </c>
      <c r="T74" s="96">
        <f t="shared" ca="1" si="50"/>
        <v>442.4354029804017</v>
      </c>
      <c r="U74" s="96" t="str">
        <f t="shared" ca="1" si="8"/>
        <v xml:space="preserve"> </v>
      </c>
      <c r="V74" s="97">
        <f ca="1">((I74*$H$115)*(References!$D$69/References!$F$78))</f>
        <v>2.1287307687663706</v>
      </c>
      <c r="W74" s="116">
        <f t="shared" ca="1" si="38"/>
        <v>0</v>
      </c>
    </row>
    <row r="75" spans="1:23" s="108" customFormat="1" ht="13.5" customHeight="1">
      <c r="A75" s="220" t="s">
        <v>398</v>
      </c>
      <c r="B75" s="220" t="s">
        <v>304</v>
      </c>
      <c r="E75" s="110">
        <v>1</v>
      </c>
      <c r="G75" s="111">
        <f>+References!C12*6</f>
        <v>25.98</v>
      </c>
      <c r="H75" s="219">
        <f t="shared" si="34"/>
        <v>311.76</v>
      </c>
      <c r="I75" s="235">
        <f>+References!C44</f>
        <v>980</v>
      </c>
      <c r="J75" s="110">
        <f t="shared" ref="J75" si="51">+H75*I75</f>
        <v>305524.8</v>
      </c>
      <c r="K75" s="110">
        <f t="shared" si="46"/>
        <v>231662.33725341741</v>
      </c>
      <c r="L75" s="109">
        <f ca="1">+K75*References!$D$69</f>
        <v>648.654544309568</v>
      </c>
      <c r="M75" s="109">
        <f ca="1">+L75/References!$F$78</f>
        <v>663.65310447060358</v>
      </c>
      <c r="N75" s="96">
        <f t="shared" ca="1" si="35"/>
        <v>2.1287307687663701</v>
      </c>
      <c r="O75" s="237">
        <f>+'Proposed Rates'!$B$82</f>
        <v>112.33564299396978</v>
      </c>
      <c r="P75" s="109">
        <f t="shared" ref="P75" ca="1" si="52">+O75+N75</f>
        <v>114.46437376273616</v>
      </c>
      <c r="Q75" s="109">
        <f ca="1">+'Proposed Rates'!$G$82</f>
        <v>114.46437376273616</v>
      </c>
      <c r="R75" s="96">
        <f t="shared" si="36"/>
        <v>35021.760059800021</v>
      </c>
      <c r="S75" s="96">
        <f t="shared" ca="1" si="37"/>
        <v>35685.413164270627</v>
      </c>
      <c r="T75" s="109">
        <f t="shared" ref="T75" ca="1" si="53">+S75-R75</f>
        <v>663.65310447060619</v>
      </c>
      <c r="U75" s="109" t="str">
        <f t="shared" ca="1" si="8"/>
        <v xml:space="preserve"> </v>
      </c>
      <c r="V75" s="97">
        <f ca="1">((I75*$H$115)*(References!$D$69/References!$F$78))</f>
        <v>2.1287307687663706</v>
      </c>
      <c r="W75" s="116">
        <f t="shared" ca="1" si="38"/>
        <v>0</v>
      </c>
    </row>
    <row r="76" spans="1:23" s="83" customFormat="1" ht="13.5" customHeight="1">
      <c r="A76" s="95" t="s">
        <v>181</v>
      </c>
      <c r="B76" s="95" t="s">
        <v>182</v>
      </c>
      <c r="D76" s="108"/>
      <c r="E76" s="110">
        <v>2</v>
      </c>
      <c r="G76" s="97">
        <f>+References!C13</f>
        <v>2.17</v>
      </c>
      <c r="H76" s="219">
        <f t="shared" si="34"/>
        <v>52.08</v>
      </c>
      <c r="I76" s="235">
        <f>+References!C44</f>
        <v>980</v>
      </c>
      <c r="J76" s="84">
        <f t="shared" si="29"/>
        <v>51038.400000000001</v>
      </c>
      <c r="K76" s="84">
        <f t="shared" si="46"/>
        <v>38699.559033095902</v>
      </c>
      <c r="L76" s="96">
        <f ca="1">+K76*References!$D$69</f>
        <v>108.35876529266841</v>
      </c>
      <c r="M76" s="96">
        <f ca="1">+L76/References!$F$78</f>
        <v>110.86429843735257</v>
      </c>
      <c r="N76" s="96">
        <f t="shared" ca="1" si="35"/>
        <v>2.1287307687663706</v>
      </c>
      <c r="O76" s="237">
        <f>+'Proposed Rates'!B82</f>
        <v>112.33564299396978</v>
      </c>
      <c r="P76" s="96">
        <f t="shared" ca="1" si="49"/>
        <v>114.46437376273616</v>
      </c>
      <c r="Q76" s="96">
        <f ca="1">+'Proposed Rates'!G82</f>
        <v>114.46437376273616</v>
      </c>
      <c r="R76" s="96">
        <f t="shared" si="36"/>
        <v>5850.4402871259463</v>
      </c>
      <c r="S76" s="96">
        <f t="shared" ca="1" si="37"/>
        <v>5961.304585563299</v>
      </c>
      <c r="T76" s="96">
        <f t="shared" ca="1" si="50"/>
        <v>110.86429843735277</v>
      </c>
      <c r="U76" s="96" t="str">
        <f t="shared" ca="1" si="8"/>
        <v xml:space="preserve"> </v>
      </c>
      <c r="V76" s="97">
        <f ca="1">((I76*$H$115)*(References!$D$69/References!$F$78))</f>
        <v>2.1287307687663706</v>
      </c>
      <c r="W76" s="116">
        <f t="shared" ca="1" si="38"/>
        <v>0</v>
      </c>
    </row>
    <row r="77" spans="1:23" s="108" customFormat="1" ht="13.5" customHeight="1">
      <c r="A77" s="107" t="s">
        <v>183</v>
      </c>
      <c r="B77" s="107" t="s">
        <v>184</v>
      </c>
      <c r="E77" s="110">
        <v>2</v>
      </c>
      <c r="G77" s="111">
        <f>+References!C12</f>
        <v>4.33</v>
      </c>
      <c r="H77" s="219">
        <f t="shared" si="34"/>
        <v>103.92</v>
      </c>
      <c r="I77" s="242">
        <f>References!$C$56</f>
        <v>1296</v>
      </c>
      <c r="J77" s="110">
        <f t="shared" si="29"/>
        <v>134680.32000000001</v>
      </c>
      <c r="K77" s="110">
        <f t="shared" si="46"/>
        <v>102120.54050354726</v>
      </c>
      <c r="L77" s="109">
        <f ca="1">+K77*References!$D$69</f>
        <v>285.93751340993202</v>
      </c>
      <c r="M77" s="109">
        <f ca="1">+L77/References!$F$78</f>
        <v>292.54912360336812</v>
      </c>
      <c r="N77" s="96">
        <f t="shared" ca="1" si="35"/>
        <v>2.8151378329808323</v>
      </c>
      <c r="O77" s="237">
        <f>+'Proposed Rates'!B152</f>
        <v>73.497462571617177</v>
      </c>
      <c r="P77" s="109">
        <f t="shared" ca="1" si="49"/>
        <v>76.312600404598015</v>
      </c>
      <c r="Q77" s="109">
        <f ca="1">+'Proposed Rates'!G152</f>
        <v>76.312600404598015</v>
      </c>
      <c r="R77" s="96">
        <f t="shared" si="36"/>
        <v>7637.8563104424575</v>
      </c>
      <c r="S77" s="96">
        <f t="shared" ca="1" si="37"/>
        <v>7930.405434045826</v>
      </c>
      <c r="T77" s="96">
        <f t="shared" ca="1" si="50"/>
        <v>292.54912360336857</v>
      </c>
      <c r="U77" s="96" t="str">
        <f t="shared" ca="1" si="8"/>
        <v xml:space="preserve"> </v>
      </c>
      <c r="V77" s="97">
        <f ca="1">((I77*$H$115)*(References!$D$69/References!$F$78))</f>
        <v>2.8151378329808328</v>
      </c>
      <c r="W77" s="116">
        <f t="shared" ca="1" si="38"/>
        <v>0</v>
      </c>
    </row>
    <row r="78" spans="1:23" s="83" customFormat="1" ht="13.5" customHeight="1">
      <c r="A78" s="95" t="s">
        <v>185</v>
      </c>
      <c r="B78" s="95" t="s">
        <v>186</v>
      </c>
      <c r="D78" s="108"/>
      <c r="E78" s="110">
        <v>6</v>
      </c>
      <c r="G78" s="97">
        <f>+References!C12</f>
        <v>4.33</v>
      </c>
      <c r="H78" s="219">
        <f t="shared" si="34"/>
        <v>311.76</v>
      </c>
      <c r="I78" s="243">
        <f>+References!C58</f>
        <v>2452</v>
      </c>
      <c r="J78" s="84">
        <f t="shared" si="29"/>
        <v>764435.52</v>
      </c>
      <c r="K78" s="84">
        <f t="shared" si="46"/>
        <v>579628.62341365253</v>
      </c>
      <c r="L78" s="96">
        <f ca="1">+K78*References!$D$69</f>
        <v>1622.9601455582253</v>
      </c>
      <c r="M78" s="96">
        <f ca="1">+L78/References!$F$78</f>
        <v>1660.4871552672655</v>
      </c>
      <c r="N78" s="96">
        <f t="shared" ca="1" si="35"/>
        <v>5.3261712704236128</v>
      </c>
      <c r="O78" s="237">
        <f>+'Proposed Rates'!B154</f>
        <v>130.2941190012387</v>
      </c>
      <c r="P78" s="96">
        <f t="shared" ca="1" si="49"/>
        <v>135.6202902716623</v>
      </c>
      <c r="Q78" s="96">
        <f ca="1">+'Proposed Rates'!G154</f>
        <v>135.6202902716623</v>
      </c>
      <c r="R78" s="96">
        <f t="shared" si="36"/>
        <v>40620.494539826177</v>
      </c>
      <c r="S78" s="96">
        <f t="shared" ca="1" si="37"/>
        <v>42280.98169509344</v>
      </c>
      <c r="T78" s="96">
        <f t="shared" ca="1" si="50"/>
        <v>1660.487155267263</v>
      </c>
      <c r="U78" s="96" t="str">
        <f t="shared" ca="1" si="8"/>
        <v xml:space="preserve"> </v>
      </c>
      <c r="V78" s="97">
        <f ca="1">((I78*$H$115)*(References!$D$69/References!$F$78))</f>
        <v>5.3261712704236128</v>
      </c>
      <c r="W78" s="116">
        <f t="shared" ca="1" si="38"/>
        <v>0</v>
      </c>
    </row>
    <row r="79" spans="1:23" s="83" customFormat="1" ht="13.5" customHeight="1">
      <c r="A79" s="95" t="s">
        <v>187</v>
      </c>
      <c r="B79" s="95" t="s">
        <v>188</v>
      </c>
      <c r="D79" s="108"/>
      <c r="E79" s="110">
        <v>13</v>
      </c>
      <c r="G79" s="97">
        <f>+References!C15</f>
        <v>1</v>
      </c>
      <c r="H79" s="219">
        <f t="shared" si="34"/>
        <v>156</v>
      </c>
      <c r="I79" s="235">
        <f>+References!C37</f>
        <v>175</v>
      </c>
      <c r="J79" s="84">
        <f t="shared" si="29"/>
        <v>27300</v>
      </c>
      <c r="K79" s="84">
        <f t="shared" si="46"/>
        <v>20700.060378137208</v>
      </c>
      <c r="L79" s="96">
        <f ca="1">+K79*References!$D$69</f>
        <v>57.960169058784118</v>
      </c>
      <c r="M79" s="96">
        <f ca="1">+L79/References!$F$78</f>
        <v>59.300357129920314</v>
      </c>
      <c r="N79" s="96">
        <f t="shared" ca="1" si="35"/>
        <v>0.38013049442256613</v>
      </c>
      <c r="O79" s="237">
        <f>+'Proposed Rates'!B85</f>
        <v>21.538507677494607</v>
      </c>
      <c r="P79" s="96">
        <f t="shared" ca="1" si="49"/>
        <v>21.918638171917173</v>
      </c>
      <c r="Q79" s="96">
        <f ca="1">+'Proposed Rates'!G85</f>
        <v>21.918638171917173</v>
      </c>
      <c r="R79" s="96">
        <f t="shared" si="36"/>
        <v>3360.0071976891591</v>
      </c>
      <c r="S79" s="96">
        <f t="shared" ca="1" si="37"/>
        <v>3419.3075548190791</v>
      </c>
      <c r="T79" s="96">
        <f t="shared" ca="1" si="50"/>
        <v>59.30035712992003</v>
      </c>
      <c r="U79" s="96" t="str">
        <f t="shared" ca="1" si="8"/>
        <v xml:space="preserve"> </v>
      </c>
      <c r="V79" s="97">
        <f ca="1">((I79*$H$115)*(References!$D$69/References!$F$78))</f>
        <v>0.38013049442256613</v>
      </c>
      <c r="W79" s="116">
        <f t="shared" ca="1" si="38"/>
        <v>0</v>
      </c>
    </row>
    <row r="80" spans="1:23" s="83" customFormat="1" ht="13.5" customHeight="1">
      <c r="A80" s="95" t="s">
        <v>189</v>
      </c>
      <c r="B80" s="95" t="s">
        <v>190</v>
      </c>
      <c r="D80" s="108"/>
      <c r="E80" s="110">
        <v>48</v>
      </c>
      <c r="G80" s="97">
        <f>+References!C15</f>
        <v>1</v>
      </c>
      <c r="H80" s="219">
        <f t="shared" si="34"/>
        <v>576</v>
      </c>
      <c r="I80" s="235">
        <f>+References!C38</f>
        <v>250</v>
      </c>
      <c r="J80" s="84">
        <f t="shared" si="29"/>
        <v>144000</v>
      </c>
      <c r="K80" s="84">
        <f t="shared" si="46"/>
        <v>109187.13166489957</v>
      </c>
      <c r="L80" s="96">
        <f ca="1">+K80*References!$D$69</f>
        <v>305.72396866171846</v>
      </c>
      <c r="M80" s="96">
        <f ca="1">+L80/References!$F$78</f>
        <v>312.79309255342588</v>
      </c>
      <c r="N80" s="96">
        <f t="shared" ca="1" si="35"/>
        <v>0.54304356346080884</v>
      </c>
      <c r="O80" s="237">
        <f>+'Proposed Rates'!B86</f>
        <v>28.716439539278007</v>
      </c>
      <c r="P80" s="96">
        <f t="shared" ca="1" si="49"/>
        <v>29.259483102738816</v>
      </c>
      <c r="Q80" s="96">
        <f ca="1">+'Proposed Rates'!G86</f>
        <v>29.259483102738816</v>
      </c>
      <c r="R80" s="96">
        <f t="shared" si="36"/>
        <v>16540.66917462413</v>
      </c>
      <c r="S80" s="96">
        <f t="shared" ca="1" si="37"/>
        <v>16853.462267177558</v>
      </c>
      <c r="T80" s="96">
        <f t="shared" ca="1" si="50"/>
        <v>312.79309255342741</v>
      </c>
      <c r="U80" s="96" t="str">
        <f t="shared" ca="1" si="8"/>
        <v xml:space="preserve"> </v>
      </c>
      <c r="V80" s="97">
        <f ca="1">((I80*$H$115)*(References!$D$69/References!$F$78))</f>
        <v>0.54304356346080873</v>
      </c>
      <c r="W80" s="116">
        <f t="shared" ca="1" si="38"/>
        <v>0</v>
      </c>
    </row>
    <row r="81" spans="1:24" s="83" customFormat="1" ht="13.5" customHeight="1">
      <c r="A81" s="95" t="s">
        <v>191</v>
      </c>
      <c r="B81" s="95" t="s">
        <v>192</v>
      </c>
      <c r="D81" s="108"/>
      <c r="E81" s="110">
        <v>29</v>
      </c>
      <c r="G81" s="97">
        <f>+References!C15</f>
        <v>1</v>
      </c>
      <c r="H81" s="219">
        <f t="shared" si="34"/>
        <v>348</v>
      </c>
      <c r="I81" s="235">
        <f>+References!C39</f>
        <v>324</v>
      </c>
      <c r="J81" s="84">
        <f t="shared" si="29"/>
        <v>112752</v>
      </c>
      <c r="K81" s="84">
        <f t="shared" si="46"/>
        <v>85493.524093616361</v>
      </c>
      <c r="L81" s="96">
        <f ca="1">+K81*References!$D$69</f>
        <v>239.38186746212554</v>
      </c>
      <c r="M81" s="96">
        <f ca="1">+L81/References!$F$78</f>
        <v>244.91699146933243</v>
      </c>
      <c r="N81" s="96">
        <f t="shared" ca="1" si="35"/>
        <v>0.70378445824520808</v>
      </c>
      <c r="O81" s="237">
        <f>+'Proposed Rates'!B87</f>
        <v>34.131865642904295</v>
      </c>
      <c r="P81" s="96">
        <f t="shared" ca="1" si="49"/>
        <v>34.835650101149504</v>
      </c>
      <c r="Q81" s="96">
        <f ca="1">+'Proposed Rates'!G87</f>
        <v>34.835650101149504</v>
      </c>
      <c r="R81" s="96">
        <f t="shared" si="36"/>
        <v>11877.889243730695</v>
      </c>
      <c r="S81" s="96">
        <f t="shared" ca="1" si="37"/>
        <v>12122.806235200027</v>
      </c>
      <c r="T81" s="96">
        <f t="shared" ca="1" si="50"/>
        <v>244.91699146933206</v>
      </c>
      <c r="U81" s="96" t="str">
        <f t="shared" ref="U81:U105" ca="1" si="54">IF(P81=Q81," ","Difference between Calculated Rate and Proposed Tariff")</f>
        <v xml:space="preserve"> </v>
      </c>
      <c r="V81" s="97">
        <f ca="1">((I81*$H$115)*(References!$D$69/References!$F$78))</f>
        <v>0.70378445824520819</v>
      </c>
      <c r="W81" s="116">
        <f t="shared" ca="1" si="38"/>
        <v>0</v>
      </c>
    </row>
    <row r="82" spans="1:24" s="83" customFormat="1" ht="13.5" customHeight="1">
      <c r="A82" s="95" t="s">
        <v>193</v>
      </c>
      <c r="B82" s="95" t="s">
        <v>194</v>
      </c>
      <c r="D82" s="108"/>
      <c r="E82" s="110">
        <v>3</v>
      </c>
      <c r="G82" s="97">
        <f>+References!C15</f>
        <v>1</v>
      </c>
      <c r="H82" s="219">
        <f t="shared" si="34"/>
        <v>36</v>
      </c>
      <c r="I82" s="235">
        <f>+References!C40</f>
        <v>473</v>
      </c>
      <c r="J82" s="84">
        <f t="shared" si="29"/>
        <v>17028</v>
      </c>
      <c r="K82" s="84">
        <f t="shared" si="46"/>
        <v>12911.378319374373</v>
      </c>
      <c r="L82" s="96">
        <f ca="1">+K82*References!$D$69</f>
        <v>36.151859294248204</v>
      </c>
      <c r="M82" s="96">
        <f ca="1">+L82/References!$F$78</f>
        <v>36.987783194442606</v>
      </c>
      <c r="N82" s="96">
        <f t="shared" ca="1" si="35"/>
        <v>1.0274384220678501</v>
      </c>
      <c r="O82" s="237">
        <f>+'Proposed Rates'!B88</f>
        <v>47.275223608313993</v>
      </c>
      <c r="P82" s="96">
        <f t="shared" ca="1" si="49"/>
        <v>48.302662030381846</v>
      </c>
      <c r="Q82" s="96">
        <f ca="1">+'Proposed Rates'!G88</f>
        <v>48.302662030381846</v>
      </c>
      <c r="R82" s="96">
        <f t="shared" si="36"/>
        <v>1701.9080498993039</v>
      </c>
      <c r="S82" s="96">
        <f t="shared" ca="1" si="37"/>
        <v>1738.8958330937467</v>
      </c>
      <c r="T82" s="96">
        <f t="shared" ca="1" si="50"/>
        <v>36.987783194442727</v>
      </c>
      <c r="U82" s="96" t="str">
        <f t="shared" ca="1" si="54"/>
        <v xml:space="preserve"> </v>
      </c>
      <c r="V82" s="97">
        <f ca="1">((I82*$H$115)*(References!$D$69/References!$F$78))</f>
        <v>1.0274384220678503</v>
      </c>
      <c r="W82" s="116">
        <f t="shared" ca="1" si="38"/>
        <v>0</v>
      </c>
    </row>
    <row r="83" spans="1:24" s="83" customFormat="1" ht="13.5" customHeight="1">
      <c r="A83" s="95" t="s">
        <v>195</v>
      </c>
      <c r="B83" s="95" t="s">
        <v>196</v>
      </c>
      <c r="D83" s="108"/>
      <c r="E83" s="110">
        <v>3</v>
      </c>
      <c r="G83" s="97">
        <f>+References!C15</f>
        <v>1</v>
      </c>
      <c r="H83" s="219">
        <f t="shared" si="34"/>
        <v>36</v>
      </c>
      <c r="I83" s="243">
        <f>+References!C58</f>
        <v>2452</v>
      </c>
      <c r="J83" s="84">
        <f t="shared" si="29"/>
        <v>88272</v>
      </c>
      <c r="K83" s="84">
        <f t="shared" si="46"/>
        <v>66931.711710583433</v>
      </c>
      <c r="L83" s="96">
        <f ca="1">+K83*References!$D$69</f>
        <v>187.4087927896334</v>
      </c>
      <c r="M83" s="96">
        <f ca="1">+L83/References!$F$78</f>
        <v>191.74216573525004</v>
      </c>
      <c r="N83" s="96">
        <f t="shared" ca="1" si="35"/>
        <v>5.3261712704236119</v>
      </c>
      <c r="O83" s="237">
        <f>+'Proposed Rates'!B160</f>
        <v>131.42411900123869</v>
      </c>
      <c r="P83" s="96">
        <f t="shared" ca="1" si="49"/>
        <v>136.75029027166229</v>
      </c>
      <c r="Q83" s="96">
        <f ca="1">+'Proposed Rates'!G160</f>
        <v>136.75029027166229</v>
      </c>
      <c r="R83" s="96">
        <f t="shared" si="36"/>
        <v>4731.2682840445932</v>
      </c>
      <c r="S83" s="96">
        <f t="shared" ca="1" si="37"/>
        <v>4923.0104497798429</v>
      </c>
      <c r="T83" s="96">
        <f t="shared" ca="1" si="50"/>
        <v>191.74216573524973</v>
      </c>
      <c r="U83" s="96" t="str">
        <f t="shared" ca="1" si="54"/>
        <v xml:space="preserve"> </v>
      </c>
      <c r="V83" s="97">
        <f ca="1">((I83*$H$115)*(References!$D$69/References!$F$78))</f>
        <v>5.3261712704236128</v>
      </c>
      <c r="W83" s="116">
        <f t="shared" ca="1" si="38"/>
        <v>0</v>
      </c>
    </row>
    <row r="84" spans="1:24" s="83" customFormat="1" ht="13.5" customHeight="1">
      <c r="A84" s="95" t="s">
        <v>197</v>
      </c>
      <c r="B84" s="95" t="s">
        <v>198</v>
      </c>
      <c r="D84" s="108"/>
      <c r="E84" s="110">
        <v>3</v>
      </c>
      <c r="G84" s="97">
        <f>+References!C15</f>
        <v>1</v>
      </c>
      <c r="H84" s="219">
        <f t="shared" si="34"/>
        <v>36</v>
      </c>
      <c r="I84" s="235">
        <f>+References!C41</f>
        <v>613</v>
      </c>
      <c r="J84" s="84">
        <f t="shared" si="29"/>
        <v>22068</v>
      </c>
      <c r="K84" s="84">
        <f t="shared" si="46"/>
        <v>16732.927927645858</v>
      </c>
      <c r="L84" s="96">
        <f ca="1">+K84*References!$D$69</f>
        <v>46.852198197408349</v>
      </c>
      <c r="M84" s="96">
        <f ca="1">+L84/References!$F$78</f>
        <v>47.93554143381251</v>
      </c>
      <c r="N84" s="96">
        <f t="shared" ca="1" si="35"/>
        <v>1.331542817605903</v>
      </c>
      <c r="O84" s="237">
        <f>+'Proposed Rates'!B89</f>
        <v>60.856029750309673</v>
      </c>
      <c r="P84" s="96">
        <f t="shared" ca="1" si="49"/>
        <v>62.187572567915574</v>
      </c>
      <c r="Q84" s="96">
        <f ca="1">+'Proposed Rates'!G89</f>
        <v>62.187572567915574</v>
      </c>
      <c r="R84" s="96">
        <f t="shared" si="36"/>
        <v>2190.8170710111481</v>
      </c>
      <c r="S84" s="96">
        <f t="shared" ca="1" si="37"/>
        <v>2238.7526124449605</v>
      </c>
      <c r="T84" s="96">
        <f t="shared" ca="1" si="50"/>
        <v>47.935541433812432</v>
      </c>
      <c r="U84" s="96" t="str">
        <f t="shared" ca="1" si="54"/>
        <v xml:space="preserve"> </v>
      </c>
      <c r="V84" s="97">
        <f ca="1">((I84*$H$115)*(References!$D$69/References!$F$78))</f>
        <v>1.3315428176059032</v>
      </c>
      <c r="W84" s="116">
        <f t="shared" ca="1" si="38"/>
        <v>0</v>
      </c>
    </row>
    <row r="85" spans="1:24" s="83" customFormat="1" ht="13.5" customHeight="1">
      <c r="A85" s="95" t="s">
        <v>199</v>
      </c>
      <c r="B85" s="95" t="s">
        <v>200</v>
      </c>
      <c r="D85" s="108"/>
      <c r="E85" s="110">
        <v>1</v>
      </c>
      <c r="G85" s="97">
        <f>+References!C15</f>
        <v>1</v>
      </c>
      <c r="H85" s="219">
        <f t="shared" si="34"/>
        <v>12</v>
      </c>
      <c r="I85" s="235">
        <f>+References!C43</f>
        <v>840</v>
      </c>
      <c r="J85" s="84">
        <f t="shared" si="29"/>
        <v>10080</v>
      </c>
      <c r="K85" s="84">
        <f t="shared" si="46"/>
        <v>7643.0992165429698</v>
      </c>
      <c r="L85" s="96">
        <f ca="1">+K85*References!$D$69</f>
        <v>21.400677806320292</v>
      </c>
      <c r="M85" s="96">
        <f ca="1">+L85/References!$F$78</f>
        <v>21.895516478739811</v>
      </c>
      <c r="N85" s="96">
        <f t="shared" ca="1" si="35"/>
        <v>1.8246263732283177</v>
      </c>
      <c r="O85" s="237">
        <f>+'Proposed Rates'!B91</f>
        <v>87.614836851974104</v>
      </c>
      <c r="P85" s="96">
        <f t="shared" ca="1" si="49"/>
        <v>89.439463225202417</v>
      </c>
      <c r="Q85" s="96">
        <f ca="1">+'Proposed Rates'!G91</f>
        <v>89.439463225202417</v>
      </c>
      <c r="R85" s="96">
        <f t="shared" si="36"/>
        <v>1051.3780422236891</v>
      </c>
      <c r="S85" s="96">
        <f t="shared" ca="1" si="37"/>
        <v>1073.273558702429</v>
      </c>
      <c r="T85" s="96">
        <f t="shared" ca="1" si="50"/>
        <v>21.895516478739864</v>
      </c>
      <c r="U85" s="96" t="str">
        <f t="shared" ca="1" si="54"/>
        <v xml:space="preserve"> </v>
      </c>
      <c r="V85" s="97">
        <f ca="1">((I85*$H$115)*(References!$D$69/References!$F$78))</f>
        <v>1.8246263732283177</v>
      </c>
      <c r="W85" s="116">
        <f t="shared" ca="1" si="38"/>
        <v>0</v>
      </c>
    </row>
    <row r="86" spans="1:24" s="83" customFormat="1" ht="13.5" customHeight="1">
      <c r="A86" s="95" t="s">
        <v>201</v>
      </c>
      <c r="B86" s="95" t="s">
        <v>202</v>
      </c>
      <c r="D86" s="108"/>
      <c r="E86" s="110">
        <v>20</v>
      </c>
      <c r="G86" s="97">
        <f>+References!C15</f>
        <v>1</v>
      </c>
      <c r="H86" s="219">
        <f t="shared" si="34"/>
        <v>240</v>
      </c>
      <c r="I86" s="235">
        <f>+References!C44</f>
        <v>980</v>
      </c>
      <c r="J86" s="84">
        <f t="shared" si="29"/>
        <v>235200</v>
      </c>
      <c r="K86" s="84">
        <f t="shared" si="46"/>
        <v>178338.98171933595</v>
      </c>
      <c r="L86" s="96">
        <f ca="1">+K86*References!$D$69</f>
        <v>499.34914881414011</v>
      </c>
      <c r="M86" s="96">
        <f ca="1">+L86/References!$F$78</f>
        <v>510.89538450392888</v>
      </c>
      <c r="N86" s="96">
        <f t="shared" ca="1" si="35"/>
        <v>2.1287307687663701</v>
      </c>
      <c r="O86" s="237">
        <f>+'Proposed Rates'!B92</f>
        <v>113.47564299396979</v>
      </c>
      <c r="P86" s="96">
        <f t="shared" ca="1" si="49"/>
        <v>115.60437376273616</v>
      </c>
      <c r="Q86" s="96">
        <f ca="1">+'Proposed Rates'!G92</f>
        <v>115.60437376273616</v>
      </c>
      <c r="R86" s="96">
        <f t="shared" si="36"/>
        <v>27234.154318552748</v>
      </c>
      <c r="S86" s="96">
        <f t="shared" ca="1" si="37"/>
        <v>27745.04970305668</v>
      </c>
      <c r="T86" s="96">
        <f t="shared" ca="1" si="50"/>
        <v>510.89538450393229</v>
      </c>
      <c r="U86" s="96" t="str">
        <f t="shared" ca="1" si="54"/>
        <v xml:space="preserve"> </v>
      </c>
      <c r="V86" s="97">
        <f ca="1">((I86*$H$115)*(References!$D$69/References!$F$78))</f>
        <v>2.1287307687663706</v>
      </c>
      <c r="W86" s="116">
        <f t="shared" ca="1" si="38"/>
        <v>0</v>
      </c>
    </row>
    <row r="87" spans="1:24" s="83" customFormat="1" ht="13.5" customHeight="1">
      <c r="A87" s="95" t="s">
        <v>203</v>
      </c>
      <c r="B87" s="95" t="s">
        <v>204</v>
      </c>
      <c r="D87" s="108"/>
      <c r="E87" s="110">
        <v>23</v>
      </c>
      <c r="G87" s="97">
        <f>+References!C15</f>
        <v>1</v>
      </c>
      <c r="H87" s="219">
        <f t="shared" si="34"/>
        <v>276</v>
      </c>
      <c r="I87" s="235">
        <f>+References!C37</f>
        <v>175</v>
      </c>
      <c r="J87" s="84">
        <f t="shared" si="29"/>
        <v>48300</v>
      </c>
      <c r="K87" s="84">
        <f t="shared" si="46"/>
        <v>36623.183745935065</v>
      </c>
      <c r="L87" s="96">
        <f ca="1">+K87*References!$D$69</f>
        <v>102.54491448861806</v>
      </c>
      <c r="M87" s="96">
        <f ca="1">+L87/References!$F$78</f>
        <v>104.91601646062826</v>
      </c>
      <c r="N87" s="96">
        <f t="shared" ca="1" si="35"/>
        <v>0.38013049442256613</v>
      </c>
      <c r="O87" s="237">
        <f>+'Proposed Rates'!B96</f>
        <v>20.418507677494606</v>
      </c>
      <c r="P87" s="96">
        <f t="shared" ca="1" si="49"/>
        <v>20.798638171917172</v>
      </c>
      <c r="Q87" s="96">
        <f ca="1">+'Proposed Rates'!G96</f>
        <v>20.798638171917172</v>
      </c>
      <c r="R87" s="96">
        <f t="shared" si="36"/>
        <v>5635.5081189885113</v>
      </c>
      <c r="S87" s="96">
        <f t="shared" ca="1" si="37"/>
        <v>5740.4241354491396</v>
      </c>
      <c r="T87" s="96">
        <f t="shared" ca="1" si="50"/>
        <v>104.91601646062827</v>
      </c>
      <c r="U87" s="96" t="str">
        <f t="shared" ca="1" si="54"/>
        <v xml:space="preserve"> </v>
      </c>
      <c r="V87" s="97">
        <f ca="1">((I87*$H$115)*(References!$D$69/References!$F$78))</f>
        <v>0.38013049442256613</v>
      </c>
      <c r="W87" s="116">
        <f t="shared" ca="1" si="38"/>
        <v>0</v>
      </c>
    </row>
    <row r="88" spans="1:24" s="83" customFormat="1" ht="13.5" customHeight="1">
      <c r="A88" s="95" t="s">
        <v>205</v>
      </c>
      <c r="B88" s="95" t="s">
        <v>206</v>
      </c>
      <c r="D88" s="108"/>
      <c r="E88" s="110">
        <v>12</v>
      </c>
      <c r="G88" s="97">
        <f>+References!C15</f>
        <v>1</v>
      </c>
      <c r="H88" s="219">
        <f t="shared" si="34"/>
        <v>144</v>
      </c>
      <c r="I88" s="235">
        <f>+References!C38</f>
        <v>250</v>
      </c>
      <c r="J88" s="84">
        <f t="shared" si="29"/>
        <v>36000</v>
      </c>
      <c r="K88" s="84">
        <f t="shared" si="46"/>
        <v>27296.782916224893</v>
      </c>
      <c r="L88" s="96">
        <f ca="1">+K88*References!$D$69</f>
        <v>76.430992165429615</v>
      </c>
      <c r="M88" s="96">
        <f ca="1">+L88/References!$F$78</f>
        <v>78.19827313835647</v>
      </c>
      <c r="N88" s="96">
        <f t="shared" ca="1" si="35"/>
        <v>0.54304356346080884</v>
      </c>
      <c r="O88" s="237">
        <f>+'Proposed Rates'!B97</f>
        <v>27.576439539278006</v>
      </c>
      <c r="P88" s="96">
        <f t="shared" ca="1" si="49"/>
        <v>28.119483102738815</v>
      </c>
      <c r="Q88" s="96">
        <f ca="1">+'Proposed Rates'!G97</f>
        <v>28.119483102738815</v>
      </c>
      <c r="R88" s="96">
        <f t="shared" si="36"/>
        <v>3971.0072936560332</v>
      </c>
      <c r="S88" s="96">
        <f t="shared" ca="1" si="37"/>
        <v>4049.2055667943896</v>
      </c>
      <c r="T88" s="96">
        <f t="shared" ca="1" si="50"/>
        <v>78.198273138356399</v>
      </c>
      <c r="U88" s="96" t="str">
        <f t="shared" ca="1" si="54"/>
        <v xml:space="preserve"> </v>
      </c>
      <c r="V88" s="97">
        <f ca="1">((I88*$H$115)*(References!$D$69/References!$F$78))</f>
        <v>0.54304356346080873</v>
      </c>
      <c r="W88" s="116">
        <f t="shared" ca="1" si="38"/>
        <v>0</v>
      </c>
    </row>
    <row r="89" spans="1:24" s="83" customFormat="1" ht="13.5" customHeight="1">
      <c r="A89" s="95" t="s">
        <v>207</v>
      </c>
      <c r="B89" s="95" t="s">
        <v>208</v>
      </c>
      <c r="D89" s="108"/>
      <c r="E89" s="110">
        <v>124</v>
      </c>
      <c r="G89" s="97">
        <f>+References!C15</f>
        <v>1</v>
      </c>
      <c r="H89" s="219">
        <f t="shared" si="34"/>
        <v>1488</v>
      </c>
      <c r="I89" s="235">
        <f>+References!C39</f>
        <v>324</v>
      </c>
      <c r="J89" s="84">
        <f t="shared" si="29"/>
        <v>482112</v>
      </c>
      <c r="K89" s="84">
        <f t="shared" si="46"/>
        <v>365558.51681408373</v>
      </c>
      <c r="L89" s="96">
        <f ca="1">+K89*References!$D$69</f>
        <v>1023.5638470794333</v>
      </c>
      <c r="M89" s="96">
        <f ca="1">+L89/References!$F$78</f>
        <v>1047.2312738688697</v>
      </c>
      <c r="N89" s="96">
        <f t="shared" ca="1" si="35"/>
        <v>0.70378445824520819</v>
      </c>
      <c r="O89" s="237">
        <f>+'Proposed Rates'!B98</f>
        <v>33.001865642904292</v>
      </c>
      <c r="P89" s="96">
        <f t="shared" ca="1" si="49"/>
        <v>33.705650101149502</v>
      </c>
      <c r="Q89" s="96">
        <f ca="1">+'Proposed Rates'!G98</f>
        <v>33.705650101149502</v>
      </c>
      <c r="R89" s="96">
        <f t="shared" si="36"/>
        <v>49106.776076641589</v>
      </c>
      <c r="S89" s="96">
        <f t="shared" ca="1" si="37"/>
        <v>50154.007350510452</v>
      </c>
      <c r="T89" s="96">
        <f t="shared" ca="1" si="50"/>
        <v>1047.2312738688634</v>
      </c>
      <c r="U89" s="96" t="str">
        <f t="shared" ca="1" si="54"/>
        <v xml:space="preserve"> </v>
      </c>
      <c r="V89" s="97">
        <f ca="1">((I89*$H$115)*(References!$D$69/References!$F$78))</f>
        <v>0.70378445824520819</v>
      </c>
      <c r="W89" s="116">
        <f t="shared" ca="1" si="38"/>
        <v>0</v>
      </c>
    </row>
    <row r="90" spans="1:24" s="83" customFormat="1" ht="13.5" customHeight="1">
      <c r="A90" s="95" t="s">
        <v>209</v>
      </c>
      <c r="B90" s="95" t="s">
        <v>210</v>
      </c>
      <c r="D90" s="108"/>
      <c r="E90" s="110">
        <v>2</v>
      </c>
      <c r="G90" s="97">
        <f>+References!C15</f>
        <v>1</v>
      </c>
      <c r="H90" s="219">
        <f t="shared" si="34"/>
        <v>24</v>
      </c>
      <c r="I90" s="235">
        <f>+References!C40</f>
        <v>473</v>
      </c>
      <c r="J90" s="84">
        <f t="shared" si="29"/>
        <v>11352</v>
      </c>
      <c r="K90" s="84">
        <f t="shared" si="46"/>
        <v>8607.585546249582</v>
      </c>
      <c r="L90" s="96">
        <f ca="1">+K90*References!$D$69</f>
        <v>24.101239529498802</v>
      </c>
      <c r="M90" s="96">
        <f ca="1">+L90/References!$F$78</f>
        <v>24.658522129628402</v>
      </c>
      <c r="N90" s="96">
        <f t="shared" ca="1" si="35"/>
        <v>1.0274384220678501</v>
      </c>
      <c r="O90" s="237">
        <f>+'Proposed Rates'!B99</f>
        <v>46.155223608313989</v>
      </c>
      <c r="P90" s="96">
        <f t="shared" ca="1" si="49"/>
        <v>47.182662030381842</v>
      </c>
      <c r="Q90" s="96">
        <f ca="1">+'Proposed Rates'!G99</f>
        <v>47.182662030381842</v>
      </c>
      <c r="R90" s="96">
        <f t="shared" si="36"/>
        <v>1107.7253665995358</v>
      </c>
      <c r="S90" s="96">
        <f t="shared" ca="1" si="37"/>
        <v>1132.3838887291643</v>
      </c>
      <c r="T90" s="96">
        <f t="shared" ca="1" si="50"/>
        <v>24.658522129628409</v>
      </c>
      <c r="U90" s="96" t="str">
        <f t="shared" ca="1" si="54"/>
        <v xml:space="preserve"> </v>
      </c>
      <c r="V90" s="97">
        <f ca="1">((I90*$H$115)*(References!$D$69/References!$F$78))</f>
        <v>1.0274384220678503</v>
      </c>
      <c r="W90" s="116">
        <f t="shared" ca="1" si="38"/>
        <v>0</v>
      </c>
    </row>
    <row r="91" spans="1:24" s="83" customFormat="1" ht="13.5" customHeight="1">
      <c r="A91" s="95" t="s">
        <v>211</v>
      </c>
      <c r="B91" s="95" t="s">
        <v>212</v>
      </c>
      <c r="D91" s="108"/>
      <c r="E91" s="110">
        <v>2</v>
      </c>
      <c r="G91" s="97">
        <f>+References!C15</f>
        <v>1</v>
      </c>
      <c r="H91" s="219">
        <f t="shared" si="34"/>
        <v>24</v>
      </c>
      <c r="I91" s="235">
        <f>+References!C41</f>
        <v>613</v>
      </c>
      <c r="J91" s="84">
        <f t="shared" si="29"/>
        <v>14712</v>
      </c>
      <c r="K91" s="84">
        <f t="shared" si="46"/>
        <v>11155.285285097239</v>
      </c>
      <c r="L91" s="96">
        <f ca="1">+K91*References!$D$69</f>
        <v>31.234798798272237</v>
      </c>
      <c r="M91" s="96">
        <f ca="1">+L91/References!$F$78</f>
        <v>31.957027622541677</v>
      </c>
      <c r="N91" s="96">
        <f ca="1">IFERROR(+M91/H91,0)</f>
        <v>1.3315428176059032</v>
      </c>
      <c r="O91" s="237">
        <f>+'Proposed Rates'!B100</f>
        <v>59.736029750309676</v>
      </c>
      <c r="P91" s="96">
        <f t="shared" ca="1" si="49"/>
        <v>61.067572567915576</v>
      </c>
      <c r="Q91" s="96">
        <f ca="1">+'Proposed Rates'!G100</f>
        <v>61.067572567915576</v>
      </c>
      <c r="R91" s="96">
        <f>+E91*O91*G91*12</f>
        <v>1433.6647140074322</v>
      </c>
      <c r="S91" s="96">
        <f t="shared" ca="1" si="37"/>
        <v>1465.6217416299737</v>
      </c>
      <c r="T91" s="96">
        <f t="shared" ca="1" si="50"/>
        <v>31.957027622541545</v>
      </c>
      <c r="U91" s="96" t="str">
        <f t="shared" ca="1" si="54"/>
        <v xml:space="preserve"> </v>
      </c>
      <c r="V91" s="97">
        <f ca="1">((I91*$H$115)*(References!$D$69/References!$F$78))</f>
        <v>1.3315428176059032</v>
      </c>
      <c r="W91" s="116">
        <f t="shared" ca="1" si="38"/>
        <v>0</v>
      </c>
    </row>
    <row r="92" spans="1:24" s="83" customFormat="1" ht="13.5" customHeight="1">
      <c r="A92" s="95" t="s">
        <v>213</v>
      </c>
      <c r="B92" s="95" t="s">
        <v>214</v>
      </c>
      <c r="D92" s="108"/>
      <c r="E92" s="110">
        <v>861</v>
      </c>
      <c r="G92" s="97">
        <f>+References!C12</f>
        <v>4.33</v>
      </c>
      <c r="H92" s="219">
        <f t="shared" ref="H92:H101" si="55">+E92*G92*12</f>
        <v>44737.56</v>
      </c>
      <c r="I92" s="235">
        <f>+References!C35</f>
        <v>29</v>
      </c>
      <c r="J92" s="84">
        <f t="shared" si="29"/>
        <v>1297389.24</v>
      </c>
      <c r="K92" s="84">
        <f t="shared" si="46"/>
        <v>983737.56783683319</v>
      </c>
      <c r="L92" s="96">
        <f ca="1">+K92*References!$D$69</f>
        <v>2754.4651899431301</v>
      </c>
      <c r="M92" s="96">
        <f ca="1">+L92/References!$F$78</f>
        <v>2818.1555043412422</v>
      </c>
      <c r="N92" s="96">
        <f ca="1">IFERROR(+M92/H92,0)*G92</f>
        <v>0.27275992105509511</v>
      </c>
      <c r="O92" s="237">
        <f>+'Proposed Rates'!B142</f>
        <v>14.514648051788557</v>
      </c>
      <c r="P92" s="96">
        <f t="shared" ca="1" si="49"/>
        <v>14.787407972843653</v>
      </c>
      <c r="Q92" s="96">
        <f ca="1">+'Proposed Rates'!G142</f>
        <v>14.787407972843653</v>
      </c>
      <c r="R92" s="96">
        <f>+E92*O92*12</f>
        <v>149965.34367107938</v>
      </c>
      <c r="S92" s="96">
        <f ca="1">+E92*P92*12</f>
        <v>152783.49917542061</v>
      </c>
      <c r="T92" s="96">
        <f t="shared" ca="1" si="50"/>
        <v>2818.1555043412372</v>
      </c>
      <c r="U92" s="96" t="str">
        <f t="shared" ca="1" si="54"/>
        <v xml:space="preserve"> </v>
      </c>
      <c r="V92" s="97">
        <f ca="1">((I92*$H$115)*(References!$D$69/References!$F$78))*'Regulated DF Calc'!G92</f>
        <v>0.27275992105509506</v>
      </c>
      <c r="W92" s="116">
        <f t="shared" ca="1" si="38"/>
        <v>0</v>
      </c>
      <c r="X92" s="83" t="s">
        <v>432</v>
      </c>
    </row>
    <row r="93" spans="1:24" s="83" customFormat="1" ht="13.5" customHeight="1">
      <c r="A93" s="95" t="s">
        <v>215</v>
      </c>
      <c r="B93" s="95" t="s">
        <v>87</v>
      </c>
      <c r="D93" s="108"/>
      <c r="E93" s="110">
        <v>63</v>
      </c>
      <c r="G93" s="97">
        <f>+References!D12</f>
        <v>8.66</v>
      </c>
      <c r="H93" s="219">
        <f t="shared" si="55"/>
        <v>6546.9600000000009</v>
      </c>
      <c r="I93" s="235">
        <f>+References!C35</f>
        <v>29</v>
      </c>
      <c r="J93" s="84">
        <f t="shared" si="29"/>
        <v>189861.84000000003</v>
      </c>
      <c r="K93" s="84">
        <f t="shared" si="46"/>
        <v>143961.59529319513</v>
      </c>
      <c r="L93" s="96">
        <f ca="1">+K93*References!$D$69</f>
        <v>403.0924668209459</v>
      </c>
      <c r="M93" s="96">
        <f ca="1">+L93/References!$F$78</f>
        <v>412.41300063530377</v>
      </c>
      <c r="N93" s="96">
        <f ca="1">IFERROR(+M93/H93,0)</f>
        <v>6.2993053361453819E-2</v>
      </c>
      <c r="O93" s="237">
        <f>+'Proposed Rates'!B127</f>
        <v>3.3526669865562484</v>
      </c>
      <c r="P93" s="96">
        <f t="shared" ca="1" si="49"/>
        <v>3.4156600399177024</v>
      </c>
      <c r="Q93" s="96">
        <f ca="1">+'Proposed Rates'!G127</f>
        <v>3.4156600399177024</v>
      </c>
      <c r="R93" s="96">
        <f>+E93*O93*G93*12</f>
        <v>21949.776654304296</v>
      </c>
      <c r="S93" s="96">
        <f t="shared" ca="1" si="37"/>
        <v>22362.189654939601</v>
      </c>
      <c r="T93" s="96">
        <f t="shared" ca="1" si="50"/>
        <v>412.41300063530434</v>
      </c>
      <c r="U93" s="96" t="str">
        <f t="shared" ca="1" si="54"/>
        <v xml:space="preserve"> </v>
      </c>
      <c r="V93" s="97">
        <f ca="1">((I93*$H$115)*(References!$D$69/References!$F$78))</f>
        <v>6.2993053361453819E-2</v>
      </c>
      <c r="W93" s="116">
        <f t="shared" ca="1" si="38"/>
        <v>0</v>
      </c>
    </row>
    <row r="94" spans="1:24" s="83" customFormat="1" ht="13.5" customHeight="1">
      <c r="A94" s="95" t="s">
        <v>216</v>
      </c>
      <c r="B94" s="95" t="s">
        <v>89</v>
      </c>
      <c r="D94" s="108"/>
      <c r="E94" s="110">
        <v>19</v>
      </c>
      <c r="G94" s="97">
        <f>+References!E12</f>
        <v>12.99</v>
      </c>
      <c r="H94" s="219">
        <f t="shared" si="55"/>
        <v>2961.7200000000003</v>
      </c>
      <c r="I94" s="235">
        <f>+References!C35</f>
        <v>29</v>
      </c>
      <c r="J94" s="84">
        <f t="shared" si="29"/>
        <v>85889.88</v>
      </c>
      <c r="K94" s="84">
        <f t="shared" si="46"/>
        <v>65125.483585016838</v>
      </c>
      <c r="L94" s="96">
        <f ca="1">+K94*References!$D$69</f>
        <v>182.35135403804694</v>
      </c>
      <c r="M94" s="96">
        <f ca="1">+L94/References!$F$78</f>
        <v>186.56778600168499</v>
      </c>
      <c r="N94" s="96">
        <f t="shared" ca="1" si="35"/>
        <v>6.2993053361453805E-2</v>
      </c>
      <c r="O94" s="237">
        <f>+'Proposed Rates'!B127</f>
        <v>3.3526669865562484</v>
      </c>
      <c r="P94" s="96">
        <f t="shared" ca="1" si="49"/>
        <v>3.4156600399177024</v>
      </c>
      <c r="Q94" s="96">
        <f ca="1">+'Proposed Rates'!G127</f>
        <v>3.4156600399177024</v>
      </c>
      <c r="R94" s="96">
        <f t="shared" si="36"/>
        <v>9929.6608674233721</v>
      </c>
      <c r="S94" s="96">
        <f t="shared" ca="1" si="37"/>
        <v>10116.228653425058</v>
      </c>
      <c r="T94" s="96">
        <f t="shared" ca="1" si="50"/>
        <v>186.56778600168582</v>
      </c>
      <c r="U94" s="96" t="str">
        <f t="shared" ca="1" si="54"/>
        <v xml:space="preserve"> </v>
      </c>
      <c r="V94" s="97">
        <f ca="1">((I94*$H$115)*(References!$D$69/References!$F$78))</f>
        <v>6.2993053361453819E-2</v>
      </c>
      <c r="W94" s="116">
        <f t="shared" ca="1" si="38"/>
        <v>0</v>
      </c>
    </row>
    <row r="95" spans="1:24" s="83" customFormat="1" ht="13.5" customHeight="1">
      <c r="A95" s="95" t="s">
        <v>217</v>
      </c>
      <c r="B95" s="95" t="s">
        <v>91</v>
      </c>
      <c r="D95" s="108"/>
      <c r="E95" s="110">
        <v>7</v>
      </c>
      <c r="G95" s="97">
        <f>+References!F12</f>
        <v>17.32</v>
      </c>
      <c r="H95" s="219">
        <f t="shared" si="55"/>
        <v>1454.88</v>
      </c>
      <c r="I95" s="235">
        <f>+References!C35</f>
        <v>29</v>
      </c>
      <c r="J95" s="84">
        <f t="shared" si="29"/>
        <v>42191.520000000004</v>
      </c>
      <c r="K95" s="84">
        <f t="shared" si="46"/>
        <v>31991.465620710027</v>
      </c>
      <c r="L95" s="96">
        <f ca="1">+K95*References!$D$69</f>
        <v>89.576103737987978</v>
      </c>
      <c r="M95" s="96">
        <f ca="1">+L95/References!$F$78</f>
        <v>91.647333474511939</v>
      </c>
      <c r="N95" s="96">
        <f t="shared" ca="1" si="35"/>
        <v>6.2993053361453819E-2</v>
      </c>
      <c r="O95" s="237">
        <f>+'Proposed Rates'!B127</f>
        <v>3.3526669865562484</v>
      </c>
      <c r="P95" s="96">
        <f t="shared" ca="1" si="49"/>
        <v>3.4156600399177024</v>
      </c>
      <c r="Q95" s="96">
        <f ca="1">+'Proposed Rates'!G127</f>
        <v>3.4156600399177024</v>
      </c>
      <c r="R95" s="96">
        <f t="shared" si="36"/>
        <v>4877.7281454009544</v>
      </c>
      <c r="S95" s="96">
        <f t="shared" ca="1" si="37"/>
        <v>4969.3754788754668</v>
      </c>
      <c r="T95" s="96">
        <f t="shared" ca="1" si="50"/>
        <v>91.647333474512379</v>
      </c>
      <c r="U95" s="96" t="str">
        <f t="shared" ca="1" si="54"/>
        <v xml:space="preserve"> </v>
      </c>
      <c r="V95" s="97">
        <f ca="1">((I95*$H$115)*(References!$D$69/References!$F$78))</f>
        <v>6.2993053361453819E-2</v>
      </c>
      <c r="W95" s="116">
        <f t="shared" ca="1" si="38"/>
        <v>0</v>
      </c>
    </row>
    <row r="96" spans="1:24" s="83" customFormat="1" ht="13.5" customHeight="1">
      <c r="A96" s="95" t="s">
        <v>218</v>
      </c>
      <c r="B96" s="95" t="s">
        <v>93</v>
      </c>
      <c r="D96" s="108"/>
      <c r="E96" s="110">
        <v>2</v>
      </c>
      <c r="G96" s="97">
        <f>+References!G12</f>
        <v>21.65</v>
      </c>
      <c r="H96" s="219">
        <f t="shared" si="55"/>
        <v>519.59999999999991</v>
      </c>
      <c r="I96" s="235">
        <f>+References!C35</f>
        <v>29</v>
      </c>
      <c r="J96" s="84">
        <f t="shared" si="29"/>
        <v>15068.399999999998</v>
      </c>
      <c r="K96" s="84">
        <f t="shared" si="46"/>
        <v>11425.523435967863</v>
      </c>
      <c r="L96" s="96">
        <f ca="1">+K96*References!$D$69</f>
        <v>31.991465620709981</v>
      </c>
      <c r="M96" s="96">
        <f ca="1">+L96/References!$F$78</f>
        <v>32.7311905266114</v>
      </c>
      <c r="N96" s="96">
        <f t="shared" ca="1" si="35"/>
        <v>6.2993053361453819E-2</v>
      </c>
      <c r="O96" s="237">
        <f>+'Proposed Rates'!B127</f>
        <v>3.3526669865562484</v>
      </c>
      <c r="P96" s="96">
        <f t="shared" ca="1" si="49"/>
        <v>3.4156600399177024</v>
      </c>
      <c r="Q96" s="96">
        <f ca="1">+'Proposed Rates'!G127</f>
        <v>3.4156600399177024</v>
      </c>
      <c r="R96" s="96">
        <f t="shared" si="36"/>
        <v>1742.0457662146266</v>
      </c>
      <c r="S96" s="96">
        <f t="shared" ca="1" si="37"/>
        <v>1774.7769567412379</v>
      </c>
      <c r="T96" s="96">
        <f t="shared" ca="1" si="50"/>
        <v>32.731190526611272</v>
      </c>
      <c r="U96" s="96" t="str">
        <f t="shared" ca="1" si="54"/>
        <v xml:space="preserve"> </v>
      </c>
      <c r="V96" s="97">
        <f ca="1">((I96*$H$115)*(References!$D$69/References!$F$78))</f>
        <v>6.2993053361453819E-2</v>
      </c>
      <c r="W96" s="116">
        <f t="shared" ca="1" si="38"/>
        <v>0</v>
      </c>
    </row>
    <row r="97" spans="1:23" s="108" customFormat="1" ht="13.5" customHeight="1">
      <c r="A97" s="220" t="s">
        <v>397</v>
      </c>
      <c r="B97" s="220" t="s">
        <v>97</v>
      </c>
      <c r="E97" s="110">
        <v>2</v>
      </c>
      <c r="G97" s="111">
        <f>+References!I12</f>
        <v>30.31</v>
      </c>
      <c r="H97" s="219">
        <f t="shared" si="55"/>
        <v>727.43999999999994</v>
      </c>
      <c r="I97" s="235">
        <f>+References!C35</f>
        <v>29</v>
      </c>
      <c r="J97" s="110">
        <f t="shared" ref="J97" si="56">+H97*I97</f>
        <v>21095.759999999998</v>
      </c>
      <c r="K97" s="110">
        <f t="shared" ref="K97" si="57">+J97*$H$115</f>
        <v>15995.73281035501</v>
      </c>
      <c r="L97" s="109">
        <f ca="1">+K97*References!$D$69</f>
        <v>44.788051868993982</v>
      </c>
      <c r="M97" s="109">
        <f ca="1">+L97/References!$F$78</f>
        <v>45.823666737255962</v>
      </c>
      <c r="N97" s="96">
        <f t="shared" ca="1" si="35"/>
        <v>6.2993053361453819E-2</v>
      </c>
      <c r="O97" s="237">
        <f>+'Proposed Rates'!B127</f>
        <v>3.3526669865562484</v>
      </c>
      <c r="P97" s="109">
        <f t="shared" ref="P97" ca="1" si="58">+O97+N97</f>
        <v>3.4156600399177024</v>
      </c>
      <c r="Q97" s="109">
        <f ca="1">+'Proposed Rates'!G127</f>
        <v>3.4156600399177024</v>
      </c>
      <c r="R97" s="96">
        <f t="shared" si="36"/>
        <v>2438.8640727004772</v>
      </c>
      <c r="S97" s="96">
        <f t="shared" ca="1" si="37"/>
        <v>2484.6877394377334</v>
      </c>
      <c r="T97" s="109">
        <f t="shared" ref="T97" ca="1" si="59">+S97-R97</f>
        <v>45.82366673725619</v>
      </c>
      <c r="U97" s="109" t="str">
        <f t="shared" ca="1" si="54"/>
        <v xml:space="preserve"> </v>
      </c>
      <c r="V97" s="97">
        <f ca="1">((I97*$H$115)*(References!$D$69/References!$F$78))</f>
        <v>6.2993053361453819E-2</v>
      </c>
      <c r="W97" s="116">
        <f t="shared" ca="1" si="38"/>
        <v>0</v>
      </c>
    </row>
    <row r="98" spans="1:23" s="83" customFormat="1" ht="13.5" customHeight="1">
      <c r="A98" s="95" t="s">
        <v>219</v>
      </c>
      <c r="B98" s="95" t="s">
        <v>95</v>
      </c>
      <c r="D98" s="108"/>
      <c r="E98" s="110">
        <v>2</v>
      </c>
      <c r="G98" s="97">
        <f>+References!H12</f>
        <v>25.98</v>
      </c>
      <c r="H98" s="219">
        <f t="shared" si="55"/>
        <v>623.52</v>
      </c>
      <c r="I98" s="235">
        <f>+References!C35</f>
        <v>29</v>
      </c>
      <c r="J98" s="84">
        <f t="shared" si="29"/>
        <v>18082.079999999998</v>
      </c>
      <c r="K98" s="84">
        <f>+J98*$H$115</f>
        <v>13710.628123161438</v>
      </c>
      <c r="L98" s="96">
        <f ca="1">+K98*References!$D$69</f>
        <v>38.389758744851981</v>
      </c>
      <c r="M98" s="96">
        <f ca="1">+L98/References!$F$78</f>
        <v>39.277428631933681</v>
      </c>
      <c r="N98" s="96">
        <f t="shared" ca="1" si="35"/>
        <v>6.2993053361453819E-2</v>
      </c>
      <c r="O98" s="237">
        <f>+'Proposed Rates'!B127</f>
        <v>3.3526669865562484</v>
      </c>
      <c r="P98" s="96">
        <f t="shared" ca="1" si="49"/>
        <v>3.4156600399177024</v>
      </c>
      <c r="Q98" s="96">
        <f ca="1">+'Proposed Rates'!G127</f>
        <v>3.4156600399177024</v>
      </c>
      <c r="R98" s="96">
        <f t="shared" si="36"/>
        <v>2090.454919457552</v>
      </c>
      <c r="S98" s="96">
        <f t="shared" ca="1" si="37"/>
        <v>2129.7323480894856</v>
      </c>
      <c r="T98" s="96">
        <f t="shared" ca="1" si="50"/>
        <v>39.277428631933617</v>
      </c>
      <c r="U98" s="96" t="str">
        <f t="shared" ca="1" si="54"/>
        <v xml:space="preserve"> </v>
      </c>
      <c r="V98" s="97">
        <f ca="1">((I98*$H$115)*(References!$D$69/References!$F$78))</f>
        <v>6.2993053361453819E-2</v>
      </c>
      <c r="W98" s="116">
        <f t="shared" ca="1" si="38"/>
        <v>0</v>
      </c>
    </row>
    <row r="99" spans="1:23" s="83" customFormat="1" ht="13.5" customHeight="1">
      <c r="A99" s="95" t="s">
        <v>220</v>
      </c>
      <c r="B99" s="95" t="s">
        <v>99</v>
      </c>
      <c r="D99" s="108"/>
      <c r="E99" s="110">
        <v>2</v>
      </c>
      <c r="G99" s="112">
        <f>+References!C12*8</f>
        <v>34.64</v>
      </c>
      <c r="H99" s="219">
        <f t="shared" si="55"/>
        <v>831.36</v>
      </c>
      <c r="I99" s="235">
        <f>+References!C35</f>
        <v>29</v>
      </c>
      <c r="J99" s="84">
        <f t="shared" si="29"/>
        <v>24109.439999999999</v>
      </c>
      <c r="K99" s="84">
        <f>+J99*$H$115</f>
        <v>18280.837497548582</v>
      </c>
      <c r="L99" s="96">
        <f ca="1">+K99*References!$D$69</f>
        <v>51.186344993135975</v>
      </c>
      <c r="M99" s="96">
        <f ca="1">+L99/References!$F$78</f>
        <v>52.369904842578244</v>
      </c>
      <c r="N99" s="96">
        <f t="shared" ca="1" si="35"/>
        <v>6.2993053361453819E-2</v>
      </c>
      <c r="O99" s="237">
        <f>+'Proposed Rates'!B127</f>
        <v>3.3526669865562484</v>
      </c>
      <c r="P99" s="96">
        <f t="shared" ca="1" si="49"/>
        <v>3.4156600399177024</v>
      </c>
      <c r="Q99" s="96">
        <f ca="1">+'Proposed Rates'!G127</f>
        <v>3.4156600399177024</v>
      </c>
      <c r="R99" s="96">
        <f t="shared" si="36"/>
        <v>2787.2732259434028</v>
      </c>
      <c r="S99" s="96">
        <f t="shared" ca="1" si="37"/>
        <v>2839.6431307859812</v>
      </c>
      <c r="T99" s="96">
        <f t="shared" ca="1" si="50"/>
        <v>52.369904842578308</v>
      </c>
      <c r="U99" s="96" t="str">
        <f t="shared" ca="1" si="54"/>
        <v xml:space="preserve"> </v>
      </c>
      <c r="V99" s="97">
        <f ca="1">((I99*$H$115)*(References!$D$69/References!$F$78))</f>
        <v>6.2993053361453819E-2</v>
      </c>
      <c r="W99" s="116">
        <f t="shared" ca="1" si="38"/>
        <v>0</v>
      </c>
    </row>
    <row r="100" spans="1:23" s="83" customFormat="1" ht="13.5" customHeight="1">
      <c r="A100" s="95" t="s">
        <v>221</v>
      </c>
      <c r="B100" s="95" t="s">
        <v>100</v>
      </c>
      <c r="D100" s="108"/>
      <c r="E100" s="110">
        <v>1</v>
      </c>
      <c r="G100" s="112">
        <f>+References!C12*9</f>
        <v>38.97</v>
      </c>
      <c r="H100" s="219">
        <f t="shared" si="55"/>
        <v>467.64</v>
      </c>
      <c r="I100" s="235">
        <f>+References!C35</f>
        <v>29</v>
      </c>
      <c r="J100" s="84">
        <f t="shared" si="29"/>
        <v>13561.56</v>
      </c>
      <c r="K100" s="84">
        <f>+J100*$H$115</f>
        <v>10282.971092371079</v>
      </c>
      <c r="L100" s="96">
        <f ca="1">+K100*References!$D$69</f>
        <v>28.792319058638991</v>
      </c>
      <c r="M100" s="96">
        <f ca="1">+L100/References!$F$78</f>
        <v>29.458071473950266</v>
      </c>
      <c r="N100" s="96">
        <f t="shared" ca="1" si="35"/>
        <v>6.2993053361453819E-2</v>
      </c>
      <c r="O100" s="237">
        <f>+'Proposed Rates'!B127</f>
        <v>3.3526669865562484</v>
      </c>
      <c r="P100" s="96">
        <f t="shared" ca="1" si="49"/>
        <v>3.4156600399177024</v>
      </c>
      <c r="Q100" s="96">
        <f ca="1">+'Proposed Rates'!G127</f>
        <v>3.4156600399177024</v>
      </c>
      <c r="R100" s="96">
        <f t="shared" si="36"/>
        <v>1567.841189593164</v>
      </c>
      <c r="S100" s="96">
        <f t="shared" ca="1" si="37"/>
        <v>1597.2992610671142</v>
      </c>
      <c r="T100" s="96">
        <f t="shared" ca="1" si="50"/>
        <v>29.458071473950213</v>
      </c>
      <c r="U100" s="96" t="str">
        <f t="shared" ca="1" si="54"/>
        <v xml:space="preserve"> </v>
      </c>
      <c r="V100" s="97">
        <f ca="1">((I100*$H$115)*(References!$D$69/References!$F$78))</f>
        <v>6.2993053361453819E-2</v>
      </c>
      <c r="W100" s="116">
        <f t="shared" ref="W100:W105" ca="1" si="60">N100-V100</f>
        <v>0</v>
      </c>
    </row>
    <row r="101" spans="1:23" s="108" customFormat="1" ht="13.5" customHeight="1">
      <c r="A101" s="220" t="s">
        <v>299</v>
      </c>
      <c r="B101" s="220" t="s">
        <v>300</v>
      </c>
      <c r="E101" s="110">
        <v>83</v>
      </c>
      <c r="G101" s="112">
        <f>+References!C13</f>
        <v>2.17</v>
      </c>
      <c r="H101" s="219">
        <f t="shared" si="55"/>
        <v>2161.3199999999997</v>
      </c>
      <c r="I101" s="235">
        <f>+References!C35</f>
        <v>29</v>
      </c>
      <c r="J101" s="110">
        <f t="shared" ref="J101" si="61">+H101*I101</f>
        <v>62678.279999999992</v>
      </c>
      <c r="K101" s="110">
        <f t="shared" ref="K101" si="62">+J101*$H$115</f>
        <v>47525.427853398891</v>
      </c>
      <c r="L101" s="109">
        <f ca="1">+K101*References!$D$69</f>
        <v>133.07119798951675</v>
      </c>
      <c r="M101" s="109">
        <f ca="1">+L101/References!$F$78</f>
        <v>136.14814609117735</v>
      </c>
      <c r="N101" s="96">
        <f t="shared" ca="1" si="35"/>
        <v>6.2993053361453819E-2</v>
      </c>
      <c r="O101" s="237">
        <f>+'Proposed Rates'!B127</f>
        <v>3.3526669865562484</v>
      </c>
      <c r="P101" s="109">
        <f t="shared" ref="P101" ca="1" si="63">+O101+N101</f>
        <v>3.4156600399177024</v>
      </c>
      <c r="Q101" s="109">
        <f ca="1">+'Proposed Rates'!G127</f>
        <v>3.4156600399177024</v>
      </c>
      <c r="R101" s="96">
        <f t="shared" si="36"/>
        <v>7246.1862113837497</v>
      </c>
      <c r="S101" s="96">
        <f t="shared" ca="1" si="37"/>
        <v>7382.3343574749288</v>
      </c>
      <c r="T101" s="109">
        <f t="shared" ref="T101" ca="1" si="64">+S101-R101</f>
        <v>136.14814609117911</v>
      </c>
      <c r="U101" s="109" t="str">
        <f t="shared" ca="1" si="54"/>
        <v xml:space="preserve"> </v>
      </c>
      <c r="V101" s="97">
        <f ca="1">((I101*$H$115)*(References!$D$69/References!$F$78))</f>
        <v>6.2993053361453819E-2</v>
      </c>
      <c r="W101" s="116">
        <f t="shared" ca="1" si="60"/>
        <v>0</v>
      </c>
    </row>
    <row r="102" spans="1:23" s="83" customFormat="1" ht="13.5" customHeight="1">
      <c r="A102" s="95" t="s">
        <v>222</v>
      </c>
      <c r="B102" s="95" t="s">
        <v>223</v>
      </c>
      <c r="D102" s="108"/>
      <c r="E102" s="110">
        <v>256</v>
      </c>
      <c r="G102" s="97">
        <f>+References!C15</f>
        <v>1</v>
      </c>
      <c r="H102" s="219">
        <f t="shared" ref="H102:H104" si="65">+E102*G102*12</f>
        <v>3072</v>
      </c>
      <c r="I102" s="235">
        <f>+References!C35</f>
        <v>29</v>
      </c>
      <c r="J102" s="84">
        <f t="shared" ref="J102:J104" si="66">+H102*I102</f>
        <v>89088</v>
      </c>
      <c r="K102" s="84">
        <f>+J102*$H$115</f>
        <v>67550.43879001787</v>
      </c>
      <c r="L102" s="96">
        <f ca="1">+K102*References!$D$69</f>
        <v>189.14122861204982</v>
      </c>
      <c r="M102" s="96">
        <f ca="1">+L102/References!$F$78</f>
        <v>193.51465992638614</v>
      </c>
      <c r="N102" s="96">
        <f t="shared" ref="N102:N104" ca="1" si="67">IFERROR(+M102/H102,0)</f>
        <v>6.2993053361453819E-2</v>
      </c>
      <c r="O102" s="237">
        <f>+'Proposed Rates'!B140</f>
        <v>4.572666986556249</v>
      </c>
      <c r="P102" s="96">
        <f t="shared" ref="P102:P104" ca="1" si="68">+O102+N102</f>
        <v>4.6356600399177026</v>
      </c>
      <c r="Q102" s="96">
        <f ca="1">+'Proposed Rates'!G140</f>
        <v>4.6356600399177026</v>
      </c>
      <c r="R102" s="96">
        <f t="shared" ref="R102:R104" si="69">+E102*O102*G102*12</f>
        <v>14047.232982700796</v>
      </c>
      <c r="S102" s="96">
        <f t="shared" ref="S102:S104" ca="1" si="70">+E102*P102*G102*12</f>
        <v>14240.747642627182</v>
      </c>
      <c r="T102" s="96">
        <f t="shared" ref="T102:T104" ca="1" si="71">+S102-R102</f>
        <v>193.51465992638623</v>
      </c>
      <c r="U102" s="96" t="str">
        <f t="shared" ca="1" si="54"/>
        <v xml:space="preserve"> </v>
      </c>
      <c r="V102" s="97">
        <f ca="1">((I102*$H$115)*(References!$D$69/References!$F$78))</f>
        <v>6.2993053361453819E-2</v>
      </c>
      <c r="W102" s="116">
        <f t="shared" ca="1" si="60"/>
        <v>0</v>
      </c>
    </row>
    <row r="103" spans="1:23" s="83" customFormat="1" ht="13.5" customHeight="1">
      <c r="A103" s="95" t="s">
        <v>224</v>
      </c>
      <c r="B103" s="95" t="s">
        <v>225</v>
      </c>
      <c r="D103" s="108"/>
      <c r="E103" s="110">
        <v>272</v>
      </c>
      <c r="G103" s="97">
        <f>+References!C15</f>
        <v>1</v>
      </c>
      <c r="H103" s="219">
        <f t="shared" si="65"/>
        <v>3264</v>
      </c>
      <c r="I103" s="235">
        <f>+References!C36</f>
        <v>125</v>
      </c>
      <c r="J103" s="84">
        <f t="shared" si="66"/>
        <v>408000</v>
      </c>
      <c r="K103" s="84">
        <f>+J103*$H$115</f>
        <v>309363.53971721546</v>
      </c>
      <c r="L103" s="96">
        <f ca="1">+K103*References!$D$69</f>
        <v>866.21791120820239</v>
      </c>
      <c r="M103" s="96">
        <f ca="1">+L103/References!$F$78</f>
        <v>886.24709556804009</v>
      </c>
      <c r="N103" s="96">
        <f t="shared" ca="1" si="67"/>
        <v>0.27152178173040442</v>
      </c>
      <c r="O103" s="237">
        <f>+'Proposed Rates'!B63</f>
        <v>25.973219769639002</v>
      </c>
      <c r="P103" s="96">
        <f t="shared" ca="1" si="68"/>
        <v>26.244741551369405</v>
      </c>
      <c r="Q103" s="96">
        <f ca="1">+'Proposed Rates'!G63</f>
        <v>26.244741551369405</v>
      </c>
      <c r="R103" s="96">
        <f t="shared" si="69"/>
        <v>84776.589328101705</v>
      </c>
      <c r="S103" s="96">
        <f t="shared" ca="1" si="70"/>
        <v>85662.836423669738</v>
      </c>
      <c r="T103" s="96">
        <f t="shared" ca="1" si="71"/>
        <v>886.24709556803282</v>
      </c>
      <c r="U103" s="96" t="str">
        <f t="shared" ca="1" si="54"/>
        <v xml:space="preserve"> </v>
      </c>
      <c r="V103" s="97">
        <f ca="1">((I103*$H$115)*(References!$D$69/References!$F$78))</f>
        <v>0.27152178173040437</v>
      </c>
      <c r="W103" s="116">
        <f t="shared" ca="1" si="60"/>
        <v>0</v>
      </c>
    </row>
    <row r="104" spans="1:23" s="83" customFormat="1" ht="13.5" customHeight="1">
      <c r="A104" s="107" t="s">
        <v>226</v>
      </c>
      <c r="B104" s="107" t="s">
        <v>227</v>
      </c>
      <c r="C104" s="108"/>
      <c r="D104" s="108"/>
      <c r="E104" s="110">
        <f>INDEX([33]Regulated!$D:$D,MATCH(A104,[33]Regulated!$A:$A,0))</f>
        <v>1.8257487563918229</v>
      </c>
      <c r="F104" s="108"/>
      <c r="G104" s="111">
        <f>+References!C15</f>
        <v>1</v>
      </c>
      <c r="H104" s="219">
        <f t="shared" si="65"/>
        <v>21.908985076701875</v>
      </c>
      <c r="I104" s="235">
        <v>125</v>
      </c>
      <c r="J104" s="110">
        <f t="shared" si="66"/>
        <v>2738.6231345877345</v>
      </c>
      <c r="K104" s="110">
        <f>+J104*$H$115</f>
        <v>2076.544477616465</v>
      </c>
      <c r="L104" s="109">
        <f ca="1">+K104*References!$D$69</f>
        <v>5.8143245373260957</v>
      </c>
      <c r="M104" s="109">
        <f ca="1">+L104/References!$F$78</f>
        <v>5.9487666639309342</v>
      </c>
      <c r="N104" s="109">
        <f t="shared" ca="1" si="67"/>
        <v>0.27152178173040442</v>
      </c>
      <c r="O104" s="237">
        <f>+'Proposed Rates'!B64</f>
        <v>20.803219769639</v>
      </c>
      <c r="P104" s="109">
        <f t="shared" ca="1" si="68"/>
        <v>21.074741551369403</v>
      </c>
      <c r="Q104" s="109">
        <f ca="1">+'Proposed Rates'!G64</f>
        <v>21.074741551369403</v>
      </c>
      <c r="R104" s="96">
        <f t="shared" si="69"/>
        <v>455.7774314803703</v>
      </c>
      <c r="S104" s="96">
        <f t="shared" ca="1" si="70"/>
        <v>461.72619814430112</v>
      </c>
      <c r="T104" s="109">
        <f t="shared" ca="1" si="71"/>
        <v>5.9487666639308259</v>
      </c>
      <c r="U104" s="96" t="str">
        <f t="shared" ca="1" si="54"/>
        <v xml:space="preserve"> </v>
      </c>
      <c r="V104" s="97">
        <f ca="1">((I104*$H$115)*(References!$D$69/References!$F$78))</f>
        <v>0.27152178173040437</v>
      </c>
      <c r="W104" s="116">
        <f t="shared" ca="1" si="60"/>
        <v>0</v>
      </c>
    </row>
    <row r="105" spans="1:23" s="83" customFormat="1" ht="13.5" customHeight="1">
      <c r="A105" s="99"/>
      <c r="B105" s="99"/>
      <c r="U105" s="96" t="str">
        <f t="shared" si="54"/>
        <v xml:space="preserve"> </v>
      </c>
      <c r="V105" s="97">
        <f ca="1">((I105*$H$115)*(References!$D$69/References!$F$78))</f>
        <v>0</v>
      </c>
      <c r="W105" s="116">
        <f t="shared" ca="1" si="60"/>
        <v>0</v>
      </c>
    </row>
    <row r="106" spans="1:23" s="83" customFormat="1" ht="13.5" customHeight="1">
      <c r="A106" s="82"/>
      <c r="B106" s="100" t="s">
        <v>228</v>
      </c>
      <c r="D106" s="102"/>
      <c r="E106" s="113">
        <f>+SUM(E37:E105)</f>
        <v>5214.8257487563915</v>
      </c>
      <c r="F106" s="113"/>
      <c r="G106" s="113"/>
      <c r="H106" s="113">
        <f>+SUM(H37:H105)</f>
        <v>233765.22898507671</v>
      </c>
      <c r="I106" s="113"/>
      <c r="J106" s="113">
        <f>+SUM(J37:J105)</f>
        <v>70822833.103134587</v>
      </c>
      <c r="K106" s="113">
        <f>+SUM(K37:K105)</f>
        <v>53700986.131341435</v>
      </c>
      <c r="L106" s="101">
        <f ca="1">+SUM(L37:L105)</f>
        <v>150362.76116775576</v>
      </c>
      <c r="M106" s="101">
        <f ca="1">+SUM(M37:M105)</f>
        <v>153839.53465086536</v>
      </c>
      <c r="N106" s="101">
        <f ca="1">SUM(N9:N104)</f>
        <v>87.831634441220032</v>
      </c>
      <c r="O106" s="101"/>
      <c r="P106" s="101"/>
      <c r="Q106" s="101"/>
      <c r="R106" s="101">
        <f>+SUM(R37:R105)</f>
        <v>7348211.8400621871</v>
      </c>
      <c r="S106" s="101">
        <f ca="1">+SUM(S37:S105)</f>
        <v>7502051.3747130502</v>
      </c>
      <c r="T106" s="101">
        <f ca="1">+SUM(T37:T105)</f>
        <v>153839.53465086551</v>
      </c>
      <c r="U106" s="142"/>
      <c r="V106" s="142"/>
    </row>
    <row r="107" spans="1:23" s="83" customFormat="1" ht="13.5" customHeight="1">
      <c r="A107" s="82"/>
      <c r="B107" s="100"/>
      <c r="E107" s="98"/>
      <c r="F107" s="98"/>
      <c r="G107" s="98"/>
      <c r="H107" s="98"/>
      <c r="I107" s="98"/>
      <c r="J107" s="98"/>
      <c r="K107" s="98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</row>
    <row r="108" spans="1:23" s="83" customFormat="1" ht="13.5" customHeight="1" thickBot="1">
      <c r="A108" s="82"/>
      <c r="B108" s="100" t="s">
        <v>229</v>
      </c>
      <c r="D108" s="115"/>
      <c r="E108" s="115">
        <f>+E106+E32</f>
        <v>104526.99826337628</v>
      </c>
      <c r="F108" s="115"/>
      <c r="G108" s="115"/>
      <c r="H108" s="115">
        <f>+H106+H32</f>
        <v>4116418.992844726</v>
      </c>
      <c r="I108" s="115"/>
      <c r="J108" s="115">
        <f>+J106+J32</f>
        <v>219067755.55641395</v>
      </c>
      <c r="K108" s="115">
        <f>+K106+K32</f>
        <v>166106804.64911252</v>
      </c>
      <c r="L108" s="114">
        <f ca="1">+L106+L32</f>
        <v>465099.05301751447</v>
      </c>
      <c r="M108" s="114">
        <f ca="1">+M106+M32</f>
        <v>475853.33846686571</v>
      </c>
      <c r="N108" s="114"/>
      <c r="O108" s="114"/>
      <c r="P108" s="114"/>
      <c r="Q108" s="114"/>
      <c r="R108" s="114">
        <f>+R106+R32</f>
        <v>23708424.312062927</v>
      </c>
      <c r="S108" s="114">
        <f ca="1">+S106+S32</f>
        <v>24184277.650529787</v>
      </c>
      <c r="T108" s="114">
        <f ca="1">+T106+T32</f>
        <v>475853.33846686466</v>
      </c>
      <c r="U108" s="142"/>
      <c r="V108" s="142"/>
    </row>
    <row r="109" spans="1:23" s="83" customFormat="1" ht="13.5" customHeight="1" thickTop="1">
      <c r="A109" s="82"/>
      <c r="B109" s="82"/>
      <c r="T109" s="143">
        <f ca="1">T108-References!C76</f>
        <v>-1.0477378964424133E-9</v>
      </c>
      <c r="U109" s="116"/>
      <c r="V109" s="116"/>
    </row>
    <row r="110" spans="1:23" s="83" customFormat="1" ht="13.5" customHeight="1" thickBot="1">
      <c r="A110" s="82"/>
      <c r="B110" s="82"/>
    </row>
    <row r="111" spans="1:23" s="83" customFormat="1" ht="13.5" customHeight="1">
      <c r="A111" s="82"/>
      <c r="B111" s="82"/>
      <c r="F111" s="275" t="s">
        <v>230</v>
      </c>
      <c r="G111" s="275"/>
      <c r="L111" s="117"/>
      <c r="N111" s="201"/>
      <c r="O111" s="202" t="s">
        <v>305</v>
      </c>
      <c r="P111" s="203">
        <f ca="1">T32</f>
        <v>322013.80381599918</v>
      </c>
      <c r="Q111" s="204">
        <f ca="1">P111/R32</f>
        <v>1.9682739717904112E-2</v>
      </c>
    </row>
    <row r="112" spans="1:23" s="83" customFormat="1" ht="13.5" customHeight="1">
      <c r="A112" s="82"/>
      <c r="H112" s="119" t="s">
        <v>64</v>
      </c>
      <c r="J112" s="86"/>
      <c r="N112" s="205"/>
      <c r="O112" s="118" t="s">
        <v>306</v>
      </c>
      <c r="P112" s="214">
        <f ca="1">T106</f>
        <v>153839.53465086551</v>
      </c>
      <c r="Q112" s="207">
        <f ca="1">P112/R106</f>
        <v>2.0935642303089017E-2</v>
      </c>
    </row>
    <row r="113" spans="1:23" s="83" customFormat="1" ht="13.5" customHeight="1">
      <c r="A113" s="82"/>
      <c r="F113" s="83" t="s">
        <v>234</v>
      </c>
      <c r="H113" s="200">
        <f>Disposal!D33*Disposal!D41</f>
        <v>83053.402324556257</v>
      </c>
      <c r="J113" s="120"/>
      <c r="N113" s="205"/>
      <c r="O113" s="118" t="s">
        <v>345</v>
      </c>
      <c r="P113" s="206">
        <f ca="1">+P111+P112</f>
        <v>475853.33846686466</v>
      </c>
      <c r="Q113" s="208"/>
    </row>
    <row r="114" spans="1:23" s="83" customFormat="1" ht="13.5" customHeight="1">
      <c r="A114" s="82"/>
      <c r="F114" s="83" t="s">
        <v>236</v>
      </c>
      <c r="H114" s="121">
        <f>+H113*References!H22</f>
        <v>166106804.64911252</v>
      </c>
      <c r="J114" s="121"/>
      <c r="N114" s="205"/>
      <c r="P114" s="122">
        <f ca="1">P113-References!C76</f>
        <v>-1.0477378964424133E-9</v>
      </c>
      <c r="Q114" s="208"/>
    </row>
    <row r="115" spans="1:23" s="83" customFormat="1" ht="13.5" customHeight="1">
      <c r="A115" s="82"/>
      <c r="F115" s="124" t="s">
        <v>346</v>
      </c>
      <c r="H115" s="125">
        <f>+'Regulated DF Calc'!H114/(J108)</f>
        <v>0.75824396989513587</v>
      </c>
      <c r="J115" s="120"/>
      <c r="L115" s="123"/>
      <c r="N115" s="205"/>
      <c r="O115" s="209" t="s">
        <v>347</v>
      </c>
      <c r="P115" s="120">
        <f>'[16]Clark Co. Regulated - Price Out'!$AF$283</f>
        <v>30392.812145581309</v>
      </c>
      <c r="Q115" s="208"/>
    </row>
    <row r="116" spans="1:23" s="83" customFormat="1" ht="13.5" customHeight="1">
      <c r="A116" s="82"/>
      <c r="J116" s="126"/>
      <c r="L116" s="127"/>
      <c r="N116" s="205"/>
      <c r="O116" s="118" t="s">
        <v>307</v>
      </c>
      <c r="P116" s="206">
        <f ca="1">+P115*References!E69</f>
        <v>151052.27636353907</v>
      </c>
      <c r="Q116" s="210">
        <f ca="1">+References!E70</f>
        <v>5.2614863434257871E-2</v>
      </c>
    </row>
    <row r="117" spans="1:23" s="83" customFormat="1" ht="13.5" customHeight="1" thickBot="1">
      <c r="A117" s="82"/>
      <c r="F117" s="128" t="s">
        <v>231</v>
      </c>
      <c r="H117" s="129" t="s">
        <v>308</v>
      </c>
      <c r="I117" s="129" t="s">
        <v>232</v>
      </c>
      <c r="L117" s="127"/>
      <c r="N117" s="211"/>
      <c r="O117" s="212"/>
      <c r="P117" s="212"/>
      <c r="Q117" s="213"/>
    </row>
    <row r="118" spans="1:23" s="83" customFormat="1" ht="13.5" customHeight="1">
      <c r="A118" s="82"/>
      <c r="F118" s="120" t="s">
        <v>233</v>
      </c>
      <c r="H118" s="127">
        <f>+J32</f>
        <v>148244922.45327938</v>
      </c>
      <c r="I118" s="127">
        <f>+K32</f>
        <v>112405818.5177711</v>
      </c>
      <c r="J118" s="130"/>
      <c r="K118" s="140">
        <f>+I118/$I$120</f>
        <v>0.67670809004615728</v>
      </c>
      <c r="Q118" s="118"/>
    </row>
    <row r="119" spans="1:23" s="83" customFormat="1" ht="13.5" customHeight="1">
      <c r="A119" s="82"/>
      <c r="F119" s="120" t="s">
        <v>235</v>
      </c>
      <c r="H119" s="127">
        <f>+J106</f>
        <v>70822833.103134587</v>
      </c>
      <c r="I119" s="127">
        <f>+K106</f>
        <v>53700986.131341435</v>
      </c>
      <c r="J119" s="130"/>
      <c r="K119" s="140">
        <f>+I119/$I$120</f>
        <v>0.32329190995384277</v>
      </c>
    </row>
    <row r="120" spans="1:23" s="83" customFormat="1" ht="13.5" customHeight="1">
      <c r="A120" s="82"/>
      <c r="F120" s="120"/>
      <c r="H120" s="139">
        <f>+H118+H119</f>
        <v>219067755.55641395</v>
      </c>
      <c r="I120" s="139">
        <f>+I118+I119</f>
        <v>166106804.64911252</v>
      </c>
      <c r="K120" s="141">
        <f>+K118+K119</f>
        <v>1</v>
      </c>
    </row>
    <row r="121" spans="1:23" s="83" customFormat="1" ht="13.5" customHeight="1">
      <c r="A121" s="82"/>
      <c r="F121" s="120"/>
      <c r="H121" s="123"/>
      <c r="I121" s="123"/>
      <c r="K121" s="245"/>
    </row>
    <row r="122" spans="1:23" s="83" customFormat="1" ht="13.5" customHeight="1">
      <c r="A122" s="82"/>
      <c r="B122" s="83" t="s">
        <v>422</v>
      </c>
      <c r="F122" s="120"/>
      <c r="H122" s="123"/>
      <c r="I122" s="123"/>
      <c r="K122" s="245"/>
    </row>
    <row r="123" spans="1:23" s="83" customFormat="1" ht="13.5" customHeight="1">
      <c r="A123" s="248" t="s">
        <v>430</v>
      </c>
      <c r="B123" s="249" t="s">
        <v>421</v>
      </c>
      <c r="C123" s="239"/>
      <c r="D123" s="239"/>
      <c r="E123" s="246">
        <v>1</v>
      </c>
      <c r="F123" s="239"/>
      <c r="G123" s="240">
        <v>1</v>
      </c>
      <c r="H123" s="241">
        <v>1</v>
      </c>
      <c r="I123" s="240">
        <v>50</v>
      </c>
      <c r="J123" s="240">
        <f>+H123*I123</f>
        <v>50</v>
      </c>
      <c r="K123" s="240">
        <f>+J123*$H$115</f>
        <v>37.912198494756794</v>
      </c>
      <c r="L123" s="151">
        <f ca="1">+K123*References!$D$69</f>
        <v>0.10615415578531891</v>
      </c>
      <c r="M123" s="151">
        <f ca="1">+L123/References!$F$78</f>
        <v>0.10860871269216175</v>
      </c>
      <c r="N123" s="151">
        <f ca="1">IFERROR(+M123/H123,0)</f>
        <v>0.10860871269216175</v>
      </c>
      <c r="O123" s="151">
        <v>3.07</v>
      </c>
      <c r="P123" s="151">
        <f ca="1">+O123+N123</f>
        <v>3.1786087126921614</v>
      </c>
      <c r="Q123" s="151"/>
      <c r="R123" s="151">
        <f>+E123*O123*G123</f>
        <v>3.07</v>
      </c>
      <c r="S123" s="151">
        <f ca="1">+E123*P123*G123</f>
        <v>3.1786087126921614</v>
      </c>
      <c r="T123" s="151">
        <f ca="1">+S123-R123</f>
        <v>0.10860871269216155</v>
      </c>
      <c r="U123" s="151"/>
    </row>
    <row r="124" spans="1:23" s="83" customFormat="1" ht="13.5" customHeight="1">
      <c r="A124" s="248" t="s">
        <v>431</v>
      </c>
      <c r="B124" s="249" t="s">
        <v>420</v>
      </c>
      <c r="C124" s="239"/>
      <c r="D124" s="239"/>
      <c r="E124" s="246">
        <v>1</v>
      </c>
      <c r="F124" s="239"/>
      <c r="G124" s="240">
        <v>1</v>
      </c>
      <c r="H124" s="241">
        <v>1</v>
      </c>
      <c r="I124" s="240">
        <f>References!C42</f>
        <v>728</v>
      </c>
      <c r="J124" s="240">
        <f>+H124*I124</f>
        <v>728</v>
      </c>
      <c r="K124" s="240">
        <f>+J124*$H$115</f>
        <v>552.00161008365887</v>
      </c>
      <c r="L124" s="151">
        <f ca="1">+K124*References!$D$69</f>
        <v>1.5456045082342431</v>
      </c>
      <c r="M124" s="151">
        <f ca="1">+L124/References!$F$78</f>
        <v>1.5813428567978751</v>
      </c>
      <c r="N124" s="151">
        <f ca="1">IFERROR(+M124/H124,0)</f>
        <v>1.5813428567978751</v>
      </c>
      <c r="O124" s="151">
        <v>71.7</v>
      </c>
      <c r="P124" s="151">
        <f ca="1">+O124+N124</f>
        <v>73.281342856797878</v>
      </c>
      <c r="Q124" s="151"/>
      <c r="R124" s="151">
        <f>+E124*O124*G124</f>
        <v>71.7</v>
      </c>
      <c r="S124" s="151">
        <f ca="1">+E124*P124*G124</f>
        <v>73.281342856797878</v>
      </c>
      <c r="T124" s="151">
        <f ca="1">+S124-R124</f>
        <v>1.5813428567978747</v>
      </c>
      <c r="U124" s="151"/>
    </row>
    <row r="125" spans="1:23" s="83" customFormat="1" ht="13.5" customHeight="1">
      <c r="A125" s="248" t="s">
        <v>451</v>
      </c>
      <c r="B125" s="249" t="s">
        <v>452</v>
      </c>
      <c r="C125" s="239"/>
      <c r="D125" s="239"/>
      <c r="E125" s="246">
        <v>1</v>
      </c>
      <c r="F125" s="239"/>
      <c r="G125" s="240">
        <v>1</v>
      </c>
      <c r="H125" s="241">
        <v>1</v>
      </c>
      <c r="I125" s="240">
        <f>+References!C37</f>
        <v>175</v>
      </c>
      <c r="J125" s="240">
        <f>+H125*I125</f>
        <v>175</v>
      </c>
      <c r="K125" s="240">
        <f>+J125*$H$115</f>
        <v>132.69269473164877</v>
      </c>
      <c r="L125" s="151">
        <f ca="1">+K125*References!$D$69</f>
        <v>0.37153954524861615</v>
      </c>
      <c r="M125" s="151">
        <f ca="1">+L125/References!$F$78</f>
        <v>0.38013049442256613</v>
      </c>
      <c r="N125" s="151">
        <f ca="1">IFERROR(+M125/H125,0)</f>
        <v>0.38013049442256613</v>
      </c>
      <c r="O125" s="151">
        <v>129.35</v>
      </c>
      <c r="P125" s="151">
        <f ca="1">+O125+N125</f>
        <v>129.73013049442255</v>
      </c>
      <c r="Q125" s="151"/>
      <c r="R125" s="151">
        <f>+E125*O125*G125</f>
        <v>129.35</v>
      </c>
      <c r="S125" s="151">
        <f ca="1">+E125*P125*G125</f>
        <v>129.73013049442255</v>
      </c>
      <c r="T125" s="151">
        <f ca="1">+S125-R125</f>
        <v>0.3801304944225592</v>
      </c>
      <c r="U125" s="151"/>
    </row>
    <row r="126" spans="1:23" s="108" customFormat="1" ht="13.5" customHeight="1">
      <c r="A126" s="238" t="s">
        <v>429</v>
      </c>
      <c r="B126" s="238" t="s">
        <v>418</v>
      </c>
      <c r="C126" s="239"/>
      <c r="D126" s="239"/>
      <c r="E126" s="246">
        <v>1</v>
      </c>
      <c r="F126" s="239"/>
      <c r="G126" s="240">
        <v>1</v>
      </c>
      <c r="H126" s="241">
        <v>1</v>
      </c>
      <c r="I126" s="240">
        <f>References!C57</f>
        <v>1892</v>
      </c>
      <c r="J126" s="240">
        <f t="shared" ref="J126" si="72">+H126*I126</f>
        <v>1892</v>
      </c>
      <c r="K126" s="240">
        <f>+J126*$H$115</f>
        <v>1434.5975910415971</v>
      </c>
      <c r="L126" s="151">
        <f ca="1">+K126*References!$D$69</f>
        <v>4.016873254916467</v>
      </c>
      <c r="M126" s="151">
        <f ca="1">+L126/References!$F$78</f>
        <v>4.1097536882714003</v>
      </c>
      <c r="N126" s="151">
        <f t="shared" ref="N126" ca="1" si="73">IFERROR(+M126/H126,0)</f>
        <v>4.1097536882714003</v>
      </c>
      <c r="O126" s="151">
        <v>98.99</v>
      </c>
      <c r="P126" s="151">
        <f t="shared" ref="P126" ca="1" si="74">+O126+N126</f>
        <v>103.09975368827139</v>
      </c>
      <c r="Q126" s="151"/>
      <c r="R126" s="151">
        <f t="shared" ref="R126" si="75">+E126*O126*G126</f>
        <v>98.99</v>
      </c>
      <c r="S126" s="151">
        <f t="shared" ref="S126" ca="1" si="76">+E126*P126*G126</f>
        <v>103.09975368827139</v>
      </c>
      <c r="T126" s="151">
        <f t="shared" ref="T126" ca="1" si="77">+S126-R126</f>
        <v>4.1097536882713968</v>
      </c>
      <c r="U126" s="151"/>
      <c r="V126" s="97"/>
      <c r="W126" s="116"/>
    </row>
    <row r="127" spans="1:23" s="83" customFormat="1" ht="13.5" customHeight="1">
      <c r="A127" s="238" t="s">
        <v>429</v>
      </c>
      <c r="B127" s="238" t="s">
        <v>419</v>
      </c>
      <c r="C127" s="239"/>
      <c r="D127" s="239"/>
      <c r="E127" s="246">
        <v>1</v>
      </c>
      <c r="F127" s="239"/>
      <c r="G127" s="240">
        <v>1</v>
      </c>
      <c r="H127" s="241">
        <v>1</v>
      </c>
      <c r="I127" s="240">
        <f>References!C59</f>
        <v>3360</v>
      </c>
      <c r="J127" s="240">
        <f t="shared" ref="J127:J133" si="78">+H127*I127</f>
        <v>3360</v>
      </c>
      <c r="K127" s="240">
        <f t="shared" ref="K127:K133" si="79">+J127*$H$115</f>
        <v>2547.6997388476566</v>
      </c>
      <c r="L127" s="151">
        <f ca="1">+K127*References!$D$69</f>
        <v>7.1335592687734311</v>
      </c>
      <c r="M127" s="151">
        <f ca="1">+L127/References!$F$78</f>
        <v>7.2985054929132707</v>
      </c>
      <c r="N127" s="151">
        <f t="shared" ref="N127:N133" ca="1" si="80">IFERROR(+M127/H127,0)</f>
        <v>7.2985054929132707</v>
      </c>
      <c r="O127" s="151">
        <v>171.91</v>
      </c>
      <c r="P127" s="151">
        <f t="shared" ref="P127:P133" ca="1" si="81">+O127+N127</f>
        <v>179.20850549291328</v>
      </c>
      <c r="Q127" s="151"/>
      <c r="R127" s="151">
        <f t="shared" ref="R127:R133" si="82">+E127*O127*G127</f>
        <v>171.91</v>
      </c>
      <c r="S127" s="151">
        <f t="shared" ref="S127:S133" ca="1" si="83">+E127*P127*G127</f>
        <v>179.20850549291328</v>
      </c>
      <c r="T127" s="151">
        <f t="shared" ref="T127:T133" ca="1" si="84">+S127-R127</f>
        <v>7.2985054929132787</v>
      </c>
      <c r="U127" s="151"/>
      <c r="V127" s="97"/>
      <c r="W127" s="116"/>
    </row>
    <row r="128" spans="1:23" s="83" customFormat="1" ht="13.5" customHeight="1">
      <c r="A128" s="238" t="s">
        <v>429</v>
      </c>
      <c r="B128" s="239" t="s">
        <v>423</v>
      </c>
      <c r="C128" s="239"/>
      <c r="D128" s="239"/>
      <c r="E128" s="246">
        <v>1</v>
      </c>
      <c r="F128" s="239"/>
      <c r="G128" s="240">
        <v>1</v>
      </c>
      <c r="H128" s="241">
        <v>1</v>
      </c>
      <c r="I128" s="240">
        <f>References!C59</f>
        <v>3360</v>
      </c>
      <c r="J128" s="240">
        <f t="shared" si="78"/>
        <v>3360</v>
      </c>
      <c r="K128" s="240">
        <f t="shared" si="79"/>
        <v>2547.6997388476566</v>
      </c>
      <c r="L128" s="151">
        <f ca="1">+K128*References!$D$69</f>
        <v>7.1335592687734311</v>
      </c>
      <c r="M128" s="151">
        <f ca="1">+L128/References!$F$78</f>
        <v>7.2985054929132707</v>
      </c>
      <c r="N128" s="151">
        <f t="shared" ca="1" si="80"/>
        <v>7.2985054929132707</v>
      </c>
      <c r="O128" s="151">
        <v>98.27</v>
      </c>
      <c r="P128" s="151">
        <f t="shared" ca="1" si="81"/>
        <v>105.56850549291326</v>
      </c>
      <c r="Q128" s="151"/>
      <c r="R128" s="151">
        <f t="shared" si="82"/>
        <v>98.27</v>
      </c>
      <c r="S128" s="151">
        <f t="shared" ca="1" si="83"/>
        <v>105.56850549291326</v>
      </c>
      <c r="T128" s="151">
        <f t="shared" ca="1" si="84"/>
        <v>7.2985054929132644</v>
      </c>
      <c r="U128" s="151"/>
    </row>
    <row r="129" spans="1:21" s="83" customFormat="1" ht="13.5" customHeight="1">
      <c r="A129" s="238" t="s">
        <v>429</v>
      </c>
      <c r="B129" s="239" t="s">
        <v>424</v>
      </c>
      <c r="C129" s="239"/>
      <c r="D129" s="239"/>
      <c r="E129" s="246">
        <v>1</v>
      </c>
      <c r="F129" s="239"/>
      <c r="G129" s="240">
        <v>1</v>
      </c>
      <c r="H129" s="241">
        <v>1</v>
      </c>
      <c r="I129" s="240">
        <f>References!C61</f>
        <v>3065</v>
      </c>
      <c r="J129" s="240">
        <f t="shared" si="78"/>
        <v>3065</v>
      </c>
      <c r="K129" s="240">
        <f t="shared" si="79"/>
        <v>2324.0177677285915</v>
      </c>
      <c r="L129" s="151">
        <f ca="1">+K129*References!$D$69</f>
        <v>6.5072497496400494</v>
      </c>
      <c r="M129" s="151">
        <f ca="1">+L129/References!$F$78</f>
        <v>6.6577140880295165</v>
      </c>
      <c r="N129" s="151">
        <f t="shared" ca="1" si="80"/>
        <v>6.6577140880295165</v>
      </c>
      <c r="O129" s="151">
        <v>173.05</v>
      </c>
      <c r="P129" s="151">
        <f t="shared" ca="1" si="81"/>
        <v>179.70771408802952</v>
      </c>
      <c r="Q129" s="151"/>
      <c r="R129" s="151">
        <f t="shared" si="82"/>
        <v>173.05</v>
      </c>
      <c r="S129" s="151">
        <f t="shared" ca="1" si="83"/>
        <v>179.70771408802952</v>
      </c>
      <c r="T129" s="151">
        <f t="shared" ca="1" si="84"/>
        <v>6.6577140880295076</v>
      </c>
      <c r="U129" s="151"/>
    </row>
    <row r="130" spans="1:21" s="83" customFormat="1" ht="13.5" customHeight="1">
      <c r="A130" s="238" t="s">
        <v>429</v>
      </c>
      <c r="B130" s="249" t="s">
        <v>425</v>
      </c>
      <c r="C130" s="239"/>
      <c r="D130" s="239"/>
      <c r="E130" s="246">
        <v>1</v>
      </c>
      <c r="F130" s="239"/>
      <c r="G130" s="240">
        <v>1</v>
      </c>
      <c r="H130" s="241">
        <v>1</v>
      </c>
      <c r="I130" s="240">
        <f>References!C56</f>
        <v>1296</v>
      </c>
      <c r="J130" s="240">
        <f t="shared" si="78"/>
        <v>1296</v>
      </c>
      <c r="K130" s="240">
        <f t="shared" si="79"/>
        <v>982.68418498409608</v>
      </c>
      <c r="L130" s="151">
        <f ca="1">+K130*References!$D$69</f>
        <v>2.7515157179554661</v>
      </c>
      <c r="M130" s="151">
        <f ca="1">+L130/References!$F$78</f>
        <v>2.8151378329808328</v>
      </c>
      <c r="N130" s="151">
        <f t="shared" ca="1" si="80"/>
        <v>2.8151378329808328</v>
      </c>
      <c r="O130" s="151">
        <v>70.599999999999994</v>
      </c>
      <c r="P130" s="151">
        <f t="shared" ca="1" si="81"/>
        <v>73.415137832980832</v>
      </c>
      <c r="Q130" s="151"/>
      <c r="R130" s="151">
        <f t="shared" si="82"/>
        <v>70.599999999999994</v>
      </c>
      <c r="S130" s="151">
        <f t="shared" ca="1" si="83"/>
        <v>73.415137832980832</v>
      </c>
      <c r="T130" s="151">
        <f t="shared" ca="1" si="84"/>
        <v>2.8151378329808381</v>
      </c>
      <c r="U130" s="151"/>
    </row>
    <row r="131" spans="1:21" s="83" customFormat="1" ht="13.5" customHeight="1">
      <c r="A131" s="238" t="s">
        <v>429</v>
      </c>
      <c r="B131" s="249" t="s">
        <v>426</v>
      </c>
      <c r="C131" s="239"/>
      <c r="D131" s="239"/>
      <c r="E131" s="246">
        <v>1</v>
      </c>
      <c r="F131" s="239"/>
      <c r="G131" s="240">
        <v>1</v>
      </c>
      <c r="H131" s="241">
        <v>1</v>
      </c>
      <c r="I131" s="240">
        <f>References!C57</f>
        <v>1892</v>
      </c>
      <c r="J131" s="240">
        <f t="shared" si="78"/>
        <v>1892</v>
      </c>
      <c r="K131" s="240">
        <f t="shared" si="79"/>
        <v>1434.5975910415971</v>
      </c>
      <c r="L131" s="151">
        <f ca="1">+K131*References!$D$69</f>
        <v>4.016873254916467</v>
      </c>
      <c r="M131" s="151">
        <f ca="1">+L131/References!$F$78</f>
        <v>4.1097536882714003</v>
      </c>
      <c r="N131" s="151">
        <f t="shared" ca="1" si="80"/>
        <v>4.1097536882714003</v>
      </c>
      <c r="O131" s="151">
        <v>98.99</v>
      </c>
      <c r="P131" s="151">
        <f t="shared" ca="1" si="81"/>
        <v>103.09975368827139</v>
      </c>
      <c r="Q131" s="151"/>
      <c r="R131" s="151">
        <f t="shared" si="82"/>
        <v>98.99</v>
      </c>
      <c r="S131" s="151">
        <f t="shared" ca="1" si="83"/>
        <v>103.09975368827139</v>
      </c>
      <c r="T131" s="151">
        <f t="shared" ca="1" si="84"/>
        <v>4.1097536882713968</v>
      </c>
      <c r="U131" s="151"/>
    </row>
    <row r="132" spans="1:21" s="83" customFormat="1" ht="13.5" customHeight="1">
      <c r="A132" s="238" t="s">
        <v>429</v>
      </c>
      <c r="B132" s="249" t="s">
        <v>427</v>
      </c>
      <c r="C132" s="239"/>
      <c r="D132" s="239"/>
      <c r="E132" s="246">
        <v>1</v>
      </c>
      <c r="F132" s="239"/>
      <c r="G132" s="240">
        <v>1</v>
      </c>
      <c r="H132" s="241">
        <v>1</v>
      </c>
      <c r="I132" s="240">
        <f>References!C58</f>
        <v>2452</v>
      </c>
      <c r="J132" s="240">
        <f t="shared" si="78"/>
        <v>2452</v>
      </c>
      <c r="K132" s="240">
        <f t="shared" si="79"/>
        <v>1859.2142141828731</v>
      </c>
      <c r="L132" s="151">
        <f ca="1">+K132*References!$D$69</f>
        <v>5.2057997997120387</v>
      </c>
      <c r="M132" s="151">
        <f ca="1">+L132/References!$F$78</f>
        <v>5.3261712704236119</v>
      </c>
      <c r="N132" s="151">
        <f t="shared" ca="1" si="80"/>
        <v>5.3261712704236119</v>
      </c>
      <c r="O132" s="151">
        <v>124.76</v>
      </c>
      <c r="P132" s="151">
        <f t="shared" ca="1" si="81"/>
        <v>130.08617127042362</v>
      </c>
      <c r="Q132" s="151"/>
      <c r="R132" s="151">
        <f t="shared" si="82"/>
        <v>124.76</v>
      </c>
      <c r="S132" s="151">
        <f t="shared" ca="1" si="83"/>
        <v>130.08617127042362</v>
      </c>
      <c r="T132" s="151">
        <f t="shared" ca="1" si="84"/>
        <v>5.3261712704236146</v>
      </c>
      <c r="U132" s="151"/>
    </row>
    <row r="133" spans="1:21" s="83" customFormat="1" ht="13.5" customHeight="1">
      <c r="A133" s="238" t="s">
        <v>429</v>
      </c>
      <c r="B133" s="249" t="s">
        <v>428</v>
      </c>
      <c r="C133" s="239"/>
      <c r="D133" s="239"/>
      <c r="E133" s="246">
        <v>1</v>
      </c>
      <c r="F133" s="239"/>
      <c r="G133" s="240">
        <v>1</v>
      </c>
      <c r="H133" s="241">
        <v>1</v>
      </c>
      <c r="I133" s="240">
        <f>References!C59</f>
        <v>3360</v>
      </c>
      <c r="J133" s="240">
        <f t="shared" si="78"/>
        <v>3360</v>
      </c>
      <c r="K133" s="240">
        <f t="shared" si="79"/>
        <v>2547.6997388476566</v>
      </c>
      <c r="L133" s="151">
        <f ca="1">+K133*References!$D$69</f>
        <v>7.1335592687734311</v>
      </c>
      <c r="M133" s="151">
        <f ca="1">+L133/References!$F$78</f>
        <v>7.2985054929132707</v>
      </c>
      <c r="N133" s="151">
        <f t="shared" ca="1" si="80"/>
        <v>7.2985054929132707</v>
      </c>
      <c r="O133" s="151">
        <v>172.02</v>
      </c>
      <c r="P133" s="151">
        <f t="shared" ca="1" si="81"/>
        <v>179.31850549291329</v>
      </c>
      <c r="Q133" s="151"/>
      <c r="R133" s="151">
        <f t="shared" si="82"/>
        <v>172.02</v>
      </c>
      <c r="S133" s="151">
        <f t="shared" ca="1" si="83"/>
        <v>179.31850549291329</v>
      </c>
      <c r="T133" s="151">
        <f t="shared" ca="1" si="84"/>
        <v>7.2985054929132787</v>
      </c>
      <c r="U133" s="151"/>
    </row>
    <row r="134" spans="1:21" ht="13.5" customHeight="1">
      <c r="A134" s="85"/>
      <c r="B134" s="85"/>
      <c r="E134" s="247"/>
    </row>
    <row r="135" spans="1:21" ht="13.5" customHeight="1">
      <c r="A135" s="85"/>
      <c r="B135" s="85"/>
      <c r="E135" s="247"/>
    </row>
    <row r="136" spans="1:21" ht="13.5" customHeight="1">
      <c r="B136" s="131"/>
      <c r="E136" s="247"/>
      <c r="J136" s="127"/>
    </row>
    <row r="137" spans="1:21" ht="13.5" customHeight="1">
      <c r="B137" s="83"/>
      <c r="E137" s="247"/>
      <c r="J137" s="123"/>
    </row>
    <row r="138" spans="1:21" ht="13.5" customHeight="1">
      <c r="E138" s="247"/>
      <c r="G138" s="83"/>
      <c r="H138" s="132"/>
      <c r="I138" s="123"/>
      <c r="J138" s="83"/>
    </row>
    <row r="139" spans="1:21" ht="13.5" customHeight="1">
      <c r="E139" s="247"/>
    </row>
    <row r="140" spans="1:21" ht="13.5" customHeight="1">
      <c r="E140" s="247"/>
    </row>
    <row r="141" spans="1:21" ht="13.5" customHeight="1">
      <c r="E141" s="247"/>
    </row>
    <row r="142" spans="1:21" ht="13.5" customHeight="1">
      <c r="E142" s="247"/>
    </row>
  </sheetData>
  <mergeCells count="3">
    <mergeCell ref="A4:B4"/>
    <mergeCell ref="F111:G111"/>
    <mergeCell ref="D1:K2"/>
  </mergeCells>
  <phoneticPr fontId="90" type="noConversion"/>
  <pageMargins left="0.2" right="0.2" top="0.25" bottom="0.25" header="0.3" footer="0.3"/>
  <pageSetup scale="60" pageOrder="overThenDown" orientation="portrait" r:id="rId1"/>
  <headerFooter>
    <oddFooter xml:space="preserve">&amp;L&amp;F - &amp;A
&amp;R&amp;P of &amp;N
</oddFooter>
  </headerFooter>
  <colBreaks count="1" manualBreakCount="1">
    <brk id="11" max="13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V323"/>
  <sheetViews>
    <sheetView showGridLines="0" tabSelected="1" zoomScale="130" zoomScaleNormal="130" zoomScaleSheetLayoutView="80" workbookViewId="0">
      <pane xSplit="1" ySplit="7" topLeftCell="B105" activePane="bottomRight" state="frozen"/>
      <selection activeCell="K25" sqref="K25"/>
      <selection pane="topRight" activeCell="K25" sqref="K25"/>
      <selection pane="bottomLeft" activeCell="K25" sqref="K25"/>
      <selection pane="bottomRight" activeCell="B108" sqref="B108"/>
    </sheetView>
  </sheetViews>
  <sheetFormatPr defaultColWidth="11.44140625" defaultRowHeight="12.6" outlineLevelCol="1"/>
  <cols>
    <col min="1" max="1" width="29.88671875" style="67" customWidth="1"/>
    <col min="2" max="2" width="7.5546875" style="65" customWidth="1" outlineLevel="1"/>
    <col min="3" max="3" width="1.5546875" style="67" customWidth="1" outlineLevel="1"/>
    <col min="4" max="4" width="2.109375" style="67" customWidth="1" outlineLevel="1"/>
    <col min="5" max="5" width="7.44140625" style="68" customWidth="1" outlineLevel="1"/>
    <col min="6" max="6" width="1.5546875" style="69" customWidth="1"/>
    <col min="7" max="7" width="10.44140625" style="69" bestFit="1" customWidth="1"/>
    <col min="8" max="8" width="1.5546875" style="69" customWidth="1"/>
    <col min="9" max="9" width="8.6640625" style="67" customWidth="1"/>
    <col min="10" max="10" width="12" style="65" bestFit="1" customWidth="1"/>
    <col min="11" max="11" width="12.109375" style="67" customWidth="1"/>
    <col min="12" max="12" width="4.5546875" style="67" customWidth="1"/>
    <col min="13" max="13" width="8.109375" style="67" customWidth="1"/>
    <col min="14" max="18" width="4.5546875" style="67" customWidth="1"/>
    <col min="19" max="254" width="11.44140625" style="67"/>
    <col min="255" max="255" width="24.33203125" style="67" customWidth="1"/>
    <col min="256" max="256" width="11.44140625" style="67" customWidth="1"/>
    <col min="257" max="257" width="1.5546875" style="67" customWidth="1"/>
    <col min="258" max="258" width="10.6640625" style="67" customWidth="1"/>
    <col min="259" max="259" width="1.5546875" style="67" customWidth="1"/>
    <col min="260" max="260" width="11.44140625" style="67" customWidth="1"/>
    <col min="261" max="261" width="11.6640625" style="67" customWidth="1"/>
    <col min="262" max="262" width="10.33203125" style="67" customWidth="1"/>
    <col min="263" max="263" width="10.6640625" style="67" customWidth="1"/>
    <col min="264" max="264" width="10.5546875" style="67" customWidth="1"/>
    <col min="265" max="265" width="8.6640625" style="67" customWidth="1"/>
    <col min="266" max="274" width="4.5546875" style="67" customWidth="1"/>
    <col min="275" max="510" width="11.44140625" style="67"/>
    <col min="511" max="511" width="24.33203125" style="67" customWidth="1"/>
    <col min="512" max="512" width="11.44140625" style="67" customWidth="1"/>
    <col min="513" max="513" width="1.5546875" style="67" customWidth="1"/>
    <col min="514" max="514" width="10.6640625" style="67" customWidth="1"/>
    <col min="515" max="515" width="1.5546875" style="67" customWidth="1"/>
    <col min="516" max="516" width="11.44140625" style="67" customWidth="1"/>
    <col min="517" max="517" width="11.6640625" style="67" customWidth="1"/>
    <col min="518" max="518" width="10.33203125" style="67" customWidth="1"/>
    <col min="519" max="519" width="10.6640625" style="67" customWidth="1"/>
    <col min="520" max="520" width="10.5546875" style="67" customWidth="1"/>
    <col min="521" max="521" width="8.6640625" style="67" customWidth="1"/>
    <col min="522" max="530" width="4.5546875" style="67" customWidth="1"/>
    <col min="531" max="766" width="11.44140625" style="67"/>
    <col min="767" max="767" width="24.33203125" style="67" customWidth="1"/>
    <col min="768" max="768" width="11.44140625" style="67" customWidth="1"/>
    <col min="769" max="769" width="1.5546875" style="67" customWidth="1"/>
    <col min="770" max="770" width="10.6640625" style="67" customWidth="1"/>
    <col min="771" max="771" width="1.5546875" style="67" customWidth="1"/>
    <col min="772" max="772" width="11.44140625" style="67" customWidth="1"/>
    <col min="773" max="773" width="11.6640625" style="67" customWidth="1"/>
    <col min="774" max="774" width="10.33203125" style="67" customWidth="1"/>
    <col min="775" max="775" width="10.6640625" style="67" customWidth="1"/>
    <col min="776" max="776" width="10.5546875" style="67" customWidth="1"/>
    <col min="777" max="777" width="8.6640625" style="67" customWidth="1"/>
    <col min="778" max="786" width="4.5546875" style="67" customWidth="1"/>
    <col min="787" max="1022" width="11.44140625" style="67"/>
    <col min="1023" max="1023" width="24.33203125" style="67" customWidth="1"/>
    <col min="1024" max="1024" width="11.44140625" style="67" customWidth="1"/>
    <col min="1025" max="1025" width="1.5546875" style="67" customWidth="1"/>
    <col min="1026" max="1026" width="10.6640625" style="67" customWidth="1"/>
    <col min="1027" max="1027" width="1.5546875" style="67" customWidth="1"/>
    <col min="1028" max="1028" width="11.44140625" style="67" customWidth="1"/>
    <col min="1029" max="1029" width="11.6640625" style="67" customWidth="1"/>
    <col min="1030" max="1030" width="10.33203125" style="67" customWidth="1"/>
    <col min="1031" max="1031" width="10.6640625" style="67" customWidth="1"/>
    <col min="1032" max="1032" width="10.5546875" style="67" customWidth="1"/>
    <col min="1033" max="1033" width="8.6640625" style="67" customWidth="1"/>
    <col min="1034" max="1042" width="4.5546875" style="67" customWidth="1"/>
    <col min="1043" max="1278" width="11.44140625" style="67"/>
    <col min="1279" max="1279" width="24.33203125" style="67" customWidth="1"/>
    <col min="1280" max="1280" width="11.44140625" style="67" customWidth="1"/>
    <col min="1281" max="1281" width="1.5546875" style="67" customWidth="1"/>
    <col min="1282" max="1282" width="10.6640625" style="67" customWidth="1"/>
    <col min="1283" max="1283" width="1.5546875" style="67" customWidth="1"/>
    <col min="1284" max="1284" width="11.44140625" style="67" customWidth="1"/>
    <col min="1285" max="1285" width="11.6640625" style="67" customWidth="1"/>
    <col min="1286" max="1286" width="10.33203125" style="67" customWidth="1"/>
    <col min="1287" max="1287" width="10.6640625" style="67" customWidth="1"/>
    <col min="1288" max="1288" width="10.5546875" style="67" customWidth="1"/>
    <col min="1289" max="1289" width="8.6640625" style="67" customWidth="1"/>
    <col min="1290" max="1298" width="4.5546875" style="67" customWidth="1"/>
    <col min="1299" max="1534" width="11.44140625" style="67"/>
    <col min="1535" max="1535" width="24.33203125" style="67" customWidth="1"/>
    <col min="1536" max="1536" width="11.44140625" style="67" customWidth="1"/>
    <col min="1537" max="1537" width="1.5546875" style="67" customWidth="1"/>
    <col min="1538" max="1538" width="10.6640625" style="67" customWidth="1"/>
    <col min="1539" max="1539" width="1.5546875" style="67" customWidth="1"/>
    <col min="1540" max="1540" width="11.44140625" style="67" customWidth="1"/>
    <col min="1541" max="1541" width="11.6640625" style="67" customWidth="1"/>
    <col min="1542" max="1542" width="10.33203125" style="67" customWidth="1"/>
    <col min="1543" max="1543" width="10.6640625" style="67" customWidth="1"/>
    <col min="1544" max="1544" width="10.5546875" style="67" customWidth="1"/>
    <col min="1545" max="1545" width="8.6640625" style="67" customWidth="1"/>
    <col min="1546" max="1554" width="4.5546875" style="67" customWidth="1"/>
    <col min="1555" max="1790" width="11.44140625" style="67"/>
    <col min="1791" max="1791" width="24.33203125" style="67" customWidth="1"/>
    <col min="1792" max="1792" width="11.44140625" style="67" customWidth="1"/>
    <col min="1793" max="1793" width="1.5546875" style="67" customWidth="1"/>
    <col min="1794" max="1794" width="10.6640625" style="67" customWidth="1"/>
    <col min="1795" max="1795" width="1.5546875" style="67" customWidth="1"/>
    <col min="1796" max="1796" width="11.44140625" style="67" customWidth="1"/>
    <col min="1797" max="1797" width="11.6640625" style="67" customWidth="1"/>
    <col min="1798" max="1798" width="10.33203125" style="67" customWidth="1"/>
    <col min="1799" max="1799" width="10.6640625" style="67" customWidth="1"/>
    <col min="1800" max="1800" width="10.5546875" style="67" customWidth="1"/>
    <col min="1801" max="1801" width="8.6640625" style="67" customWidth="1"/>
    <col min="1802" max="1810" width="4.5546875" style="67" customWidth="1"/>
    <col min="1811" max="2046" width="11.44140625" style="67"/>
    <col min="2047" max="2047" width="24.33203125" style="67" customWidth="1"/>
    <col min="2048" max="2048" width="11.44140625" style="67" customWidth="1"/>
    <col min="2049" max="2049" width="1.5546875" style="67" customWidth="1"/>
    <col min="2050" max="2050" width="10.6640625" style="67" customWidth="1"/>
    <col min="2051" max="2051" width="1.5546875" style="67" customWidth="1"/>
    <col min="2052" max="2052" width="11.44140625" style="67" customWidth="1"/>
    <col min="2053" max="2053" width="11.6640625" style="67" customWidth="1"/>
    <col min="2054" max="2054" width="10.33203125" style="67" customWidth="1"/>
    <col min="2055" max="2055" width="10.6640625" style="67" customWidth="1"/>
    <col min="2056" max="2056" width="10.5546875" style="67" customWidth="1"/>
    <col min="2057" max="2057" width="8.6640625" style="67" customWidth="1"/>
    <col min="2058" max="2066" width="4.5546875" style="67" customWidth="1"/>
    <col min="2067" max="2302" width="11.44140625" style="67"/>
    <col min="2303" max="2303" width="24.33203125" style="67" customWidth="1"/>
    <col min="2304" max="2304" width="11.44140625" style="67" customWidth="1"/>
    <col min="2305" max="2305" width="1.5546875" style="67" customWidth="1"/>
    <col min="2306" max="2306" width="10.6640625" style="67" customWidth="1"/>
    <col min="2307" max="2307" width="1.5546875" style="67" customWidth="1"/>
    <col min="2308" max="2308" width="11.44140625" style="67" customWidth="1"/>
    <col min="2309" max="2309" width="11.6640625" style="67" customWidth="1"/>
    <col min="2310" max="2310" width="10.33203125" style="67" customWidth="1"/>
    <col min="2311" max="2311" width="10.6640625" style="67" customWidth="1"/>
    <col min="2312" max="2312" width="10.5546875" style="67" customWidth="1"/>
    <col min="2313" max="2313" width="8.6640625" style="67" customWidth="1"/>
    <col min="2314" max="2322" width="4.5546875" style="67" customWidth="1"/>
    <col min="2323" max="2558" width="11.44140625" style="67"/>
    <col min="2559" max="2559" width="24.33203125" style="67" customWidth="1"/>
    <col min="2560" max="2560" width="11.44140625" style="67" customWidth="1"/>
    <col min="2561" max="2561" width="1.5546875" style="67" customWidth="1"/>
    <col min="2562" max="2562" width="10.6640625" style="67" customWidth="1"/>
    <col min="2563" max="2563" width="1.5546875" style="67" customWidth="1"/>
    <col min="2564" max="2564" width="11.44140625" style="67" customWidth="1"/>
    <col min="2565" max="2565" width="11.6640625" style="67" customWidth="1"/>
    <col min="2566" max="2566" width="10.33203125" style="67" customWidth="1"/>
    <col min="2567" max="2567" width="10.6640625" style="67" customWidth="1"/>
    <col min="2568" max="2568" width="10.5546875" style="67" customWidth="1"/>
    <col min="2569" max="2569" width="8.6640625" style="67" customWidth="1"/>
    <col min="2570" max="2578" width="4.5546875" style="67" customWidth="1"/>
    <col min="2579" max="2814" width="11.44140625" style="67"/>
    <col min="2815" max="2815" width="24.33203125" style="67" customWidth="1"/>
    <col min="2816" max="2816" width="11.44140625" style="67" customWidth="1"/>
    <col min="2817" max="2817" width="1.5546875" style="67" customWidth="1"/>
    <col min="2818" max="2818" width="10.6640625" style="67" customWidth="1"/>
    <col min="2819" max="2819" width="1.5546875" style="67" customWidth="1"/>
    <col min="2820" max="2820" width="11.44140625" style="67" customWidth="1"/>
    <col min="2821" max="2821" width="11.6640625" style="67" customWidth="1"/>
    <col min="2822" max="2822" width="10.33203125" style="67" customWidth="1"/>
    <col min="2823" max="2823" width="10.6640625" style="67" customWidth="1"/>
    <col min="2824" max="2824" width="10.5546875" style="67" customWidth="1"/>
    <col min="2825" max="2825" width="8.6640625" style="67" customWidth="1"/>
    <col min="2826" max="2834" width="4.5546875" style="67" customWidth="1"/>
    <col min="2835" max="3070" width="11.44140625" style="67"/>
    <col min="3071" max="3071" width="24.33203125" style="67" customWidth="1"/>
    <col min="3072" max="3072" width="11.44140625" style="67" customWidth="1"/>
    <col min="3073" max="3073" width="1.5546875" style="67" customWidth="1"/>
    <col min="3074" max="3074" width="10.6640625" style="67" customWidth="1"/>
    <col min="3075" max="3075" width="1.5546875" style="67" customWidth="1"/>
    <col min="3076" max="3076" width="11.44140625" style="67" customWidth="1"/>
    <col min="3077" max="3077" width="11.6640625" style="67" customWidth="1"/>
    <col min="3078" max="3078" width="10.33203125" style="67" customWidth="1"/>
    <col min="3079" max="3079" width="10.6640625" style="67" customWidth="1"/>
    <col min="3080" max="3080" width="10.5546875" style="67" customWidth="1"/>
    <col min="3081" max="3081" width="8.6640625" style="67" customWidth="1"/>
    <col min="3082" max="3090" width="4.5546875" style="67" customWidth="1"/>
    <col min="3091" max="3326" width="11.44140625" style="67"/>
    <col min="3327" max="3327" width="24.33203125" style="67" customWidth="1"/>
    <col min="3328" max="3328" width="11.44140625" style="67" customWidth="1"/>
    <col min="3329" max="3329" width="1.5546875" style="67" customWidth="1"/>
    <col min="3330" max="3330" width="10.6640625" style="67" customWidth="1"/>
    <col min="3331" max="3331" width="1.5546875" style="67" customWidth="1"/>
    <col min="3332" max="3332" width="11.44140625" style="67" customWidth="1"/>
    <col min="3333" max="3333" width="11.6640625" style="67" customWidth="1"/>
    <col min="3334" max="3334" width="10.33203125" style="67" customWidth="1"/>
    <col min="3335" max="3335" width="10.6640625" style="67" customWidth="1"/>
    <col min="3336" max="3336" width="10.5546875" style="67" customWidth="1"/>
    <col min="3337" max="3337" width="8.6640625" style="67" customWidth="1"/>
    <col min="3338" max="3346" width="4.5546875" style="67" customWidth="1"/>
    <col min="3347" max="3582" width="11.44140625" style="67"/>
    <col min="3583" max="3583" width="24.33203125" style="67" customWidth="1"/>
    <col min="3584" max="3584" width="11.44140625" style="67" customWidth="1"/>
    <col min="3585" max="3585" width="1.5546875" style="67" customWidth="1"/>
    <col min="3586" max="3586" width="10.6640625" style="67" customWidth="1"/>
    <col min="3587" max="3587" width="1.5546875" style="67" customWidth="1"/>
    <col min="3588" max="3588" width="11.44140625" style="67" customWidth="1"/>
    <col min="3589" max="3589" width="11.6640625" style="67" customWidth="1"/>
    <col min="3590" max="3590" width="10.33203125" style="67" customWidth="1"/>
    <col min="3591" max="3591" width="10.6640625" style="67" customWidth="1"/>
    <col min="3592" max="3592" width="10.5546875" style="67" customWidth="1"/>
    <col min="3593" max="3593" width="8.6640625" style="67" customWidth="1"/>
    <col min="3594" max="3602" width="4.5546875" style="67" customWidth="1"/>
    <col min="3603" max="3838" width="11.44140625" style="67"/>
    <col min="3839" max="3839" width="24.33203125" style="67" customWidth="1"/>
    <col min="3840" max="3840" width="11.44140625" style="67" customWidth="1"/>
    <col min="3841" max="3841" width="1.5546875" style="67" customWidth="1"/>
    <col min="3842" max="3842" width="10.6640625" style="67" customWidth="1"/>
    <col min="3843" max="3843" width="1.5546875" style="67" customWidth="1"/>
    <col min="3844" max="3844" width="11.44140625" style="67" customWidth="1"/>
    <col min="3845" max="3845" width="11.6640625" style="67" customWidth="1"/>
    <col min="3846" max="3846" width="10.33203125" style="67" customWidth="1"/>
    <col min="3847" max="3847" width="10.6640625" style="67" customWidth="1"/>
    <col min="3848" max="3848" width="10.5546875" style="67" customWidth="1"/>
    <col min="3849" max="3849" width="8.6640625" style="67" customWidth="1"/>
    <col min="3850" max="3858" width="4.5546875" style="67" customWidth="1"/>
    <col min="3859" max="4094" width="11.44140625" style="67"/>
    <col min="4095" max="4095" width="24.33203125" style="67" customWidth="1"/>
    <col min="4096" max="4096" width="11.44140625" style="67" customWidth="1"/>
    <col min="4097" max="4097" width="1.5546875" style="67" customWidth="1"/>
    <col min="4098" max="4098" width="10.6640625" style="67" customWidth="1"/>
    <col min="4099" max="4099" width="1.5546875" style="67" customWidth="1"/>
    <col min="4100" max="4100" width="11.44140625" style="67" customWidth="1"/>
    <col min="4101" max="4101" width="11.6640625" style="67" customWidth="1"/>
    <col min="4102" max="4102" width="10.33203125" style="67" customWidth="1"/>
    <col min="4103" max="4103" width="10.6640625" style="67" customWidth="1"/>
    <col min="4104" max="4104" width="10.5546875" style="67" customWidth="1"/>
    <col min="4105" max="4105" width="8.6640625" style="67" customWidth="1"/>
    <col min="4106" max="4114" width="4.5546875" style="67" customWidth="1"/>
    <col min="4115" max="4350" width="11.44140625" style="67"/>
    <col min="4351" max="4351" width="24.33203125" style="67" customWidth="1"/>
    <col min="4352" max="4352" width="11.44140625" style="67" customWidth="1"/>
    <col min="4353" max="4353" width="1.5546875" style="67" customWidth="1"/>
    <col min="4354" max="4354" width="10.6640625" style="67" customWidth="1"/>
    <col min="4355" max="4355" width="1.5546875" style="67" customWidth="1"/>
    <col min="4356" max="4356" width="11.44140625" style="67" customWidth="1"/>
    <col min="4357" max="4357" width="11.6640625" style="67" customWidth="1"/>
    <col min="4358" max="4358" width="10.33203125" style="67" customWidth="1"/>
    <col min="4359" max="4359" width="10.6640625" style="67" customWidth="1"/>
    <col min="4360" max="4360" width="10.5546875" style="67" customWidth="1"/>
    <col min="4361" max="4361" width="8.6640625" style="67" customWidth="1"/>
    <col min="4362" max="4370" width="4.5546875" style="67" customWidth="1"/>
    <col min="4371" max="4606" width="11.44140625" style="67"/>
    <col min="4607" max="4607" width="24.33203125" style="67" customWidth="1"/>
    <col min="4608" max="4608" width="11.44140625" style="67" customWidth="1"/>
    <col min="4609" max="4609" width="1.5546875" style="67" customWidth="1"/>
    <col min="4610" max="4610" width="10.6640625" style="67" customWidth="1"/>
    <col min="4611" max="4611" width="1.5546875" style="67" customWidth="1"/>
    <col min="4612" max="4612" width="11.44140625" style="67" customWidth="1"/>
    <col min="4613" max="4613" width="11.6640625" style="67" customWidth="1"/>
    <col min="4614" max="4614" width="10.33203125" style="67" customWidth="1"/>
    <col min="4615" max="4615" width="10.6640625" style="67" customWidth="1"/>
    <col min="4616" max="4616" width="10.5546875" style="67" customWidth="1"/>
    <col min="4617" max="4617" width="8.6640625" style="67" customWidth="1"/>
    <col min="4618" max="4626" width="4.5546875" style="67" customWidth="1"/>
    <col min="4627" max="4862" width="11.44140625" style="67"/>
    <col min="4863" max="4863" width="24.33203125" style="67" customWidth="1"/>
    <col min="4864" max="4864" width="11.44140625" style="67" customWidth="1"/>
    <col min="4865" max="4865" width="1.5546875" style="67" customWidth="1"/>
    <col min="4866" max="4866" width="10.6640625" style="67" customWidth="1"/>
    <col min="4867" max="4867" width="1.5546875" style="67" customWidth="1"/>
    <col min="4868" max="4868" width="11.44140625" style="67" customWidth="1"/>
    <col min="4869" max="4869" width="11.6640625" style="67" customWidth="1"/>
    <col min="4870" max="4870" width="10.33203125" style="67" customWidth="1"/>
    <col min="4871" max="4871" width="10.6640625" style="67" customWidth="1"/>
    <col min="4872" max="4872" width="10.5546875" style="67" customWidth="1"/>
    <col min="4873" max="4873" width="8.6640625" style="67" customWidth="1"/>
    <col min="4874" max="4882" width="4.5546875" style="67" customWidth="1"/>
    <col min="4883" max="5118" width="11.44140625" style="67"/>
    <col min="5119" max="5119" width="24.33203125" style="67" customWidth="1"/>
    <col min="5120" max="5120" width="11.44140625" style="67" customWidth="1"/>
    <col min="5121" max="5121" width="1.5546875" style="67" customWidth="1"/>
    <col min="5122" max="5122" width="10.6640625" style="67" customWidth="1"/>
    <col min="5123" max="5123" width="1.5546875" style="67" customWidth="1"/>
    <col min="5124" max="5124" width="11.44140625" style="67" customWidth="1"/>
    <col min="5125" max="5125" width="11.6640625" style="67" customWidth="1"/>
    <col min="5126" max="5126" width="10.33203125" style="67" customWidth="1"/>
    <col min="5127" max="5127" width="10.6640625" style="67" customWidth="1"/>
    <col min="5128" max="5128" width="10.5546875" style="67" customWidth="1"/>
    <col min="5129" max="5129" width="8.6640625" style="67" customWidth="1"/>
    <col min="5130" max="5138" width="4.5546875" style="67" customWidth="1"/>
    <col min="5139" max="5374" width="11.44140625" style="67"/>
    <col min="5375" max="5375" width="24.33203125" style="67" customWidth="1"/>
    <col min="5376" max="5376" width="11.44140625" style="67" customWidth="1"/>
    <col min="5377" max="5377" width="1.5546875" style="67" customWidth="1"/>
    <col min="5378" max="5378" width="10.6640625" style="67" customWidth="1"/>
    <col min="5379" max="5379" width="1.5546875" style="67" customWidth="1"/>
    <col min="5380" max="5380" width="11.44140625" style="67" customWidth="1"/>
    <col min="5381" max="5381" width="11.6640625" style="67" customWidth="1"/>
    <col min="5382" max="5382" width="10.33203125" style="67" customWidth="1"/>
    <col min="5383" max="5383" width="10.6640625" style="67" customWidth="1"/>
    <col min="5384" max="5384" width="10.5546875" style="67" customWidth="1"/>
    <col min="5385" max="5385" width="8.6640625" style="67" customWidth="1"/>
    <col min="5386" max="5394" width="4.5546875" style="67" customWidth="1"/>
    <col min="5395" max="5630" width="11.44140625" style="67"/>
    <col min="5631" max="5631" width="24.33203125" style="67" customWidth="1"/>
    <col min="5632" max="5632" width="11.44140625" style="67" customWidth="1"/>
    <col min="5633" max="5633" width="1.5546875" style="67" customWidth="1"/>
    <col min="5634" max="5634" width="10.6640625" style="67" customWidth="1"/>
    <col min="5635" max="5635" width="1.5546875" style="67" customWidth="1"/>
    <col min="5636" max="5636" width="11.44140625" style="67" customWidth="1"/>
    <col min="5637" max="5637" width="11.6640625" style="67" customWidth="1"/>
    <col min="5638" max="5638" width="10.33203125" style="67" customWidth="1"/>
    <col min="5639" max="5639" width="10.6640625" style="67" customWidth="1"/>
    <col min="5640" max="5640" width="10.5546875" style="67" customWidth="1"/>
    <col min="5641" max="5641" width="8.6640625" style="67" customWidth="1"/>
    <col min="5642" max="5650" width="4.5546875" style="67" customWidth="1"/>
    <col min="5651" max="5886" width="11.44140625" style="67"/>
    <col min="5887" max="5887" width="24.33203125" style="67" customWidth="1"/>
    <col min="5888" max="5888" width="11.44140625" style="67" customWidth="1"/>
    <col min="5889" max="5889" width="1.5546875" style="67" customWidth="1"/>
    <col min="5890" max="5890" width="10.6640625" style="67" customWidth="1"/>
    <col min="5891" max="5891" width="1.5546875" style="67" customWidth="1"/>
    <col min="5892" max="5892" width="11.44140625" style="67" customWidth="1"/>
    <col min="5893" max="5893" width="11.6640625" style="67" customWidth="1"/>
    <col min="5894" max="5894" width="10.33203125" style="67" customWidth="1"/>
    <col min="5895" max="5895" width="10.6640625" style="67" customWidth="1"/>
    <col min="5896" max="5896" width="10.5546875" style="67" customWidth="1"/>
    <col min="5897" max="5897" width="8.6640625" style="67" customWidth="1"/>
    <col min="5898" max="5906" width="4.5546875" style="67" customWidth="1"/>
    <col min="5907" max="6142" width="11.44140625" style="67"/>
    <col min="6143" max="6143" width="24.33203125" style="67" customWidth="1"/>
    <col min="6144" max="6144" width="11.44140625" style="67" customWidth="1"/>
    <col min="6145" max="6145" width="1.5546875" style="67" customWidth="1"/>
    <col min="6146" max="6146" width="10.6640625" style="67" customWidth="1"/>
    <col min="6147" max="6147" width="1.5546875" style="67" customWidth="1"/>
    <col min="6148" max="6148" width="11.44140625" style="67" customWidth="1"/>
    <col min="6149" max="6149" width="11.6640625" style="67" customWidth="1"/>
    <col min="6150" max="6150" width="10.33203125" style="67" customWidth="1"/>
    <col min="6151" max="6151" width="10.6640625" style="67" customWidth="1"/>
    <col min="6152" max="6152" width="10.5546875" style="67" customWidth="1"/>
    <col min="6153" max="6153" width="8.6640625" style="67" customWidth="1"/>
    <col min="6154" max="6162" width="4.5546875" style="67" customWidth="1"/>
    <col min="6163" max="6398" width="11.44140625" style="67"/>
    <col min="6399" max="6399" width="24.33203125" style="67" customWidth="1"/>
    <col min="6400" max="6400" width="11.44140625" style="67" customWidth="1"/>
    <col min="6401" max="6401" width="1.5546875" style="67" customWidth="1"/>
    <col min="6402" max="6402" width="10.6640625" style="67" customWidth="1"/>
    <col min="6403" max="6403" width="1.5546875" style="67" customWidth="1"/>
    <col min="6404" max="6404" width="11.44140625" style="67" customWidth="1"/>
    <col min="6405" max="6405" width="11.6640625" style="67" customWidth="1"/>
    <col min="6406" max="6406" width="10.33203125" style="67" customWidth="1"/>
    <col min="6407" max="6407" width="10.6640625" style="67" customWidth="1"/>
    <col min="6408" max="6408" width="10.5546875" style="67" customWidth="1"/>
    <col min="6409" max="6409" width="8.6640625" style="67" customWidth="1"/>
    <col min="6410" max="6418" width="4.5546875" style="67" customWidth="1"/>
    <col min="6419" max="6654" width="11.44140625" style="67"/>
    <col min="6655" max="6655" width="24.33203125" style="67" customWidth="1"/>
    <col min="6656" max="6656" width="11.44140625" style="67" customWidth="1"/>
    <col min="6657" max="6657" width="1.5546875" style="67" customWidth="1"/>
    <col min="6658" max="6658" width="10.6640625" style="67" customWidth="1"/>
    <col min="6659" max="6659" width="1.5546875" style="67" customWidth="1"/>
    <col min="6660" max="6660" width="11.44140625" style="67" customWidth="1"/>
    <col min="6661" max="6661" width="11.6640625" style="67" customWidth="1"/>
    <col min="6662" max="6662" width="10.33203125" style="67" customWidth="1"/>
    <col min="6663" max="6663" width="10.6640625" style="67" customWidth="1"/>
    <col min="6664" max="6664" width="10.5546875" style="67" customWidth="1"/>
    <col min="6665" max="6665" width="8.6640625" style="67" customWidth="1"/>
    <col min="6666" max="6674" width="4.5546875" style="67" customWidth="1"/>
    <col min="6675" max="6910" width="11.44140625" style="67"/>
    <col min="6911" max="6911" width="24.33203125" style="67" customWidth="1"/>
    <col min="6912" max="6912" width="11.44140625" style="67" customWidth="1"/>
    <col min="6913" max="6913" width="1.5546875" style="67" customWidth="1"/>
    <col min="6914" max="6914" width="10.6640625" style="67" customWidth="1"/>
    <col min="6915" max="6915" width="1.5546875" style="67" customWidth="1"/>
    <col min="6916" max="6916" width="11.44140625" style="67" customWidth="1"/>
    <col min="6917" max="6917" width="11.6640625" style="67" customWidth="1"/>
    <col min="6918" max="6918" width="10.33203125" style="67" customWidth="1"/>
    <col min="6919" max="6919" width="10.6640625" style="67" customWidth="1"/>
    <col min="6920" max="6920" width="10.5546875" style="67" customWidth="1"/>
    <col min="6921" max="6921" width="8.6640625" style="67" customWidth="1"/>
    <col min="6922" max="6930" width="4.5546875" style="67" customWidth="1"/>
    <col min="6931" max="7166" width="11.44140625" style="67"/>
    <col min="7167" max="7167" width="24.33203125" style="67" customWidth="1"/>
    <col min="7168" max="7168" width="11.44140625" style="67" customWidth="1"/>
    <col min="7169" max="7169" width="1.5546875" style="67" customWidth="1"/>
    <col min="7170" max="7170" width="10.6640625" style="67" customWidth="1"/>
    <col min="7171" max="7171" width="1.5546875" style="67" customWidth="1"/>
    <col min="7172" max="7172" width="11.44140625" style="67" customWidth="1"/>
    <col min="7173" max="7173" width="11.6640625" style="67" customWidth="1"/>
    <col min="7174" max="7174" width="10.33203125" style="67" customWidth="1"/>
    <col min="7175" max="7175" width="10.6640625" style="67" customWidth="1"/>
    <col min="7176" max="7176" width="10.5546875" style="67" customWidth="1"/>
    <col min="7177" max="7177" width="8.6640625" style="67" customWidth="1"/>
    <col min="7178" max="7186" width="4.5546875" style="67" customWidth="1"/>
    <col min="7187" max="7422" width="11.44140625" style="67"/>
    <col min="7423" max="7423" width="24.33203125" style="67" customWidth="1"/>
    <col min="7424" max="7424" width="11.44140625" style="67" customWidth="1"/>
    <col min="7425" max="7425" width="1.5546875" style="67" customWidth="1"/>
    <col min="7426" max="7426" width="10.6640625" style="67" customWidth="1"/>
    <col min="7427" max="7427" width="1.5546875" style="67" customWidth="1"/>
    <col min="7428" max="7428" width="11.44140625" style="67" customWidth="1"/>
    <col min="7429" max="7429" width="11.6640625" style="67" customWidth="1"/>
    <col min="7430" max="7430" width="10.33203125" style="67" customWidth="1"/>
    <col min="7431" max="7431" width="10.6640625" style="67" customWidth="1"/>
    <col min="7432" max="7432" width="10.5546875" style="67" customWidth="1"/>
    <col min="7433" max="7433" width="8.6640625" style="67" customWidth="1"/>
    <col min="7434" max="7442" width="4.5546875" style="67" customWidth="1"/>
    <col min="7443" max="7678" width="11.44140625" style="67"/>
    <col min="7679" max="7679" width="24.33203125" style="67" customWidth="1"/>
    <col min="7680" max="7680" width="11.44140625" style="67" customWidth="1"/>
    <col min="7681" max="7681" width="1.5546875" style="67" customWidth="1"/>
    <col min="7682" max="7682" width="10.6640625" style="67" customWidth="1"/>
    <col min="7683" max="7683" width="1.5546875" style="67" customWidth="1"/>
    <col min="7684" max="7684" width="11.44140625" style="67" customWidth="1"/>
    <col min="7685" max="7685" width="11.6640625" style="67" customWidth="1"/>
    <col min="7686" max="7686" width="10.33203125" style="67" customWidth="1"/>
    <col min="7687" max="7687" width="10.6640625" style="67" customWidth="1"/>
    <col min="7688" max="7688" width="10.5546875" style="67" customWidth="1"/>
    <col min="7689" max="7689" width="8.6640625" style="67" customWidth="1"/>
    <col min="7690" max="7698" width="4.5546875" style="67" customWidth="1"/>
    <col min="7699" max="7934" width="11.44140625" style="67"/>
    <col min="7935" max="7935" width="24.33203125" style="67" customWidth="1"/>
    <col min="7936" max="7936" width="11.44140625" style="67" customWidth="1"/>
    <col min="7937" max="7937" width="1.5546875" style="67" customWidth="1"/>
    <col min="7938" max="7938" width="10.6640625" style="67" customWidth="1"/>
    <col min="7939" max="7939" width="1.5546875" style="67" customWidth="1"/>
    <col min="7940" max="7940" width="11.44140625" style="67" customWidth="1"/>
    <col min="7941" max="7941" width="11.6640625" style="67" customWidth="1"/>
    <col min="7942" max="7942" width="10.33203125" style="67" customWidth="1"/>
    <col min="7943" max="7943" width="10.6640625" style="67" customWidth="1"/>
    <col min="7944" max="7944" width="10.5546875" style="67" customWidth="1"/>
    <col min="7945" max="7945" width="8.6640625" style="67" customWidth="1"/>
    <col min="7946" max="7954" width="4.5546875" style="67" customWidth="1"/>
    <col min="7955" max="8190" width="11.44140625" style="67"/>
    <col min="8191" max="8191" width="24.33203125" style="67" customWidth="1"/>
    <col min="8192" max="8192" width="11.44140625" style="67" customWidth="1"/>
    <col min="8193" max="8193" width="1.5546875" style="67" customWidth="1"/>
    <col min="8194" max="8194" width="10.6640625" style="67" customWidth="1"/>
    <col min="8195" max="8195" width="1.5546875" style="67" customWidth="1"/>
    <col min="8196" max="8196" width="11.44140625" style="67" customWidth="1"/>
    <col min="8197" max="8197" width="11.6640625" style="67" customWidth="1"/>
    <col min="8198" max="8198" width="10.33203125" style="67" customWidth="1"/>
    <col min="8199" max="8199" width="10.6640625" style="67" customWidth="1"/>
    <col min="8200" max="8200" width="10.5546875" style="67" customWidth="1"/>
    <col min="8201" max="8201" width="8.6640625" style="67" customWidth="1"/>
    <col min="8202" max="8210" width="4.5546875" style="67" customWidth="1"/>
    <col min="8211" max="8446" width="11.44140625" style="67"/>
    <col min="8447" max="8447" width="24.33203125" style="67" customWidth="1"/>
    <col min="8448" max="8448" width="11.44140625" style="67" customWidth="1"/>
    <col min="8449" max="8449" width="1.5546875" style="67" customWidth="1"/>
    <col min="8450" max="8450" width="10.6640625" style="67" customWidth="1"/>
    <col min="8451" max="8451" width="1.5546875" style="67" customWidth="1"/>
    <col min="8452" max="8452" width="11.44140625" style="67" customWidth="1"/>
    <col min="8453" max="8453" width="11.6640625" style="67" customWidth="1"/>
    <col min="8454" max="8454" width="10.33203125" style="67" customWidth="1"/>
    <col min="8455" max="8455" width="10.6640625" style="67" customWidth="1"/>
    <col min="8456" max="8456" width="10.5546875" style="67" customWidth="1"/>
    <col min="8457" max="8457" width="8.6640625" style="67" customWidth="1"/>
    <col min="8458" max="8466" width="4.5546875" style="67" customWidth="1"/>
    <col min="8467" max="8702" width="11.44140625" style="67"/>
    <col min="8703" max="8703" width="24.33203125" style="67" customWidth="1"/>
    <col min="8704" max="8704" width="11.44140625" style="67" customWidth="1"/>
    <col min="8705" max="8705" width="1.5546875" style="67" customWidth="1"/>
    <col min="8706" max="8706" width="10.6640625" style="67" customWidth="1"/>
    <col min="8707" max="8707" width="1.5546875" style="67" customWidth="1"/>
    <col min="8708" max="8708" width="11.44140625" style="67" customWidth="1"/>
    <col min="8709" max="8709" width="11.6640625" style="67" customWidth="1"/>
    <col min="8710" max="8710" width="10.33203125" style="67" customWidth="1"/>
    <col min="8711" max="8711" width="10.6640625" style="67" customWidth="1"/>
    <col min="8712" max="8712" width="10.5546875" style="67" customWidth="1"/>
    <col min="8713" max="8713" width="8.6640625" style="67" customWidth="1"/>
    <col min="8714" max="8722" width="4.5546875" style="67" customWidth="1"/>
    <col min="8723" max="8958" width="11.44140625" style="67"/>
    <col min="8959" max="8959" width="24.33203125" style="67" customWidth="1"/>
    <col min="8960" max="8960" width="11.44140625" style="67" customWidth="1"/>
    <col min="8961" max="8961" width="1.5546875" style="67" customWidth="1"/>
    <col min="8962" max="8962" width="10.6640625" style="67" customWidth="1"/>
    <col min="8963" max="8963" width="1.5546875" style="67" customWidth="1"/>
    <col min="8964" max="8964" width="11.44140625" style="67" customWidth="1"/>
    <col min="8965" max="8965" width="11.6640625" style="67" customWidth="1"/>
    <col min="8966" max="8966" width="10.33203125" style="67" customWidth="1"/>
    <col min="8967" max="8967" width="10.6640625" style="67" customWidth="1"/>
    <col min="8968" max="8968" width="10.5546875" style="67" customWidth="1"/>
    <col min="8969" max="8969" width="8.6640625" style="67" customWidth="1"/>
    <col min="8970" max="8978" width="4.5546875" style="67" customWidth="1"/>
    <col min="8979" max="9214" width="11.44140625" style="67"/>
    <col min="9215" max="9215" width="24.33203125" style="67" customWidth="1"/>
    <col min="9216" max="9216" width="11.44140625" style="67" customWidth="1"/>
    <col min="9217" max="9217" width="1.5546875" style="67" customWidth="1"/>
    <col min="9218" max="9218" width="10.6640625" style="67" customWidth="1"/>
    <col min="9219" max="9219" width="1.5546875" style="67" customWidth="1"/>
    <col min="9220" max="9220" width="11.44140625" style="67" customWidth="1"/>
    <col min="9221" max="9221" width="11.6640625" style="67" customWidth="1"/>
    <col min="9222" max="9222" width="10.33203125" style="67" customWidth="1"/>
    <col min="9223" max="9223" width="10.6640625" style="67" customWidth="1"/>
    <col min="9224" max="9224" width="10.5546875" style="67" customWidth="1"/>
    <col min="9225" max="9225" width="8.6640625" style="67" customWidth="1"/>
    <col min="9226" max="9234" width="4.5546875" style="67" customWidth="1"/>
    <col min="9235" max="9470" width="11.44140625" style="67"/>
    <col min="9471" max="9471" width="24.33203125" style="67" customWidth="1"/>
    <col min="9472" max="9472" width="11.44140625" style="67" customWidth="1"/>
    <col min="9473" max="9473" width="1.5546875" style="67" customWidth="1"/>
    <col min="9474" max="9474" width="10.6640625" style="67" customWidth="1"/>
    <col min="9475" max="9475" width="1.5546875" style="67" customWidth="1"/>
    <col min="9476" max="9476" width="11.44140625" style="67" customWidth="1"/>
    <col min="9477" max="9477" width="11.6640625" style="67" customWidth="1"/>
    <col min="9478" max="9478" width="10.33203125" style="67" customWidth="1"/>
    <col min="9479" max="9479" width="10.6640625" style="67" customWidth="1"/>
    <col min="9480" max="9480" width="10.5546875" style="67" customWidth="1"/>
    <col min="9481" max="9481" width="8.6640625" style="67" customWidth="1"/>
    <col min="9482" max="9490" width="4.5546875" style="67" customWidth="1"/>
    <col min="9491" max="9726" width="11.44140625" style="67"/>
    <col min="9727" max="9727" width="24.33203125" style="67" customWidth="1"/>
    <col min="9728" max="9728" width="11.44140625" style="67" customWidth="1"/>
    <col min="9729" max="9729" width="1.5546875" style="67" customWidth="1"/>
    <col min="9730" max="9730" width="10.6640625" style="67" customWidth="1"/>
    <col min="9731" max="9731" width="1.5546875" style="67" customWidth="1"/>
    <col min="9732" max="9732" width="11.44140625" style="67" customWidth="1"/>
    <col min="9733" max="9733" width="11.6640625" style="67" customWidth="1"/>
    <col min="9734" max="9734" width="10.33203125" style="67" customWidth="1"/>
    <col min="9735" max="9735" width="10.6640625" style="67" customWidth="1"/>
    <col min="9736" max="9736" width="10.5546875" style="67" customWidth="1"/>
    <col min="9737" max="9737" width="8.6640625" style="67" customWidth="1"/>
    <col min="9738" max="9746" width="4.5546875" style="67" customWidth="1"/>
    <col min="9747" max="9982" width="11.44140625" style="67"/>
    <col min="9983" max="9983" width="24.33203125" style="67" customWidth="1"/>
    <col min="9984" max="9984" width="11.44140625" style="67" customWidth="1"/>
    <col min="9985" max="9985" width="1.5546875" style="67" customWidth="1"/>
    <col min="9986" max="9986" width="10.6640625" style="67" customWidth="1"/>
    <col min="9987" max="9987" width="1.5546875" style="67" customWidth="1"/>
    <col min="9988" max="9988" width="11.44140625" style="67" customWidth="1"/>
    <col min="9989" max="9989" width="11.6640625" style="67" customWidth="1"/>
    <col min="9990" max="9990" width="10.33203125" style="67" customWidth="1"/>
    <col min="9991" max="9991" width="10.6640625" style="67" customWidth="1"/>
    <col min="9992" max="9992" width="10.5546875" style="67" customWidth="1"/>
    <col min="9993" max="9993" width="8.6640625" style="67" customWidth="1"/>
    <col min="9994" max="10002" width="4.5546875" style="67" customWidth="1"/>
    <col min="10003" max="10238" width="11.44140625" style="67"/>
    <col min="10239" max="10239" width="24.33203125" style="67" customWidth="1"/>
    <col min="10240" max="10240" width="11.44140625" style="67" customWidth="1"/>
    <col min="10241" max="10241" width="1.5546875" style="67" customWidth="1"/>
    <col min="10242" max="10242" width="10.6640625" style="67" customWidth="1"/>
    <col min="10243" max="10243" width="1.5546875" style="67" customWidth="1"/>
    <col min="10244" max="10244" width="11.44140625" style="67" customWidth="1"/>
    <col min="10245" max="10245" width="11.6640625" style="67" customWidth="1"/>
    <col min="10246" max="10246" width="10.33203125" style="67" customWidth="1"/>
    <col min="10247" max="10247" width="10.6640625" style="67" customWidth="1"/>
    <col min="10248" max="10248" width="10.5546875" style="67" customWidth="1"/>
    <col min="10249" max="10249" width="8.6640625" style="67" customWidth="1"/>
    <col min="10250" max="10258" width="4.5546875" style="67" customWidth="1"/>
    <col min="10259" max="10494" width="11.44140625" style="67"/>
    <col min="10495" max="10495" width="24.33203125" style="67" customWidth="1"/>
    <col min="10496" max="10496" width="11.44140625" style="67" customWidth="1"/>
    <col min="10497" max="10497" width="1.5546875" style="67" customWidth="1"/>
    <col min="10498" max="10498" width="10.6640625" style="67" customWidth="1"/>
    <col min="10499" max="10499" width="1.5546875" style="67" customWidth="1"/>
    <col min="10500" max="10500" width="11.44140625" style="67" customWidth="1"/>
    <col min="10501" max="10501" width="11.6640625" style="67" customWidth="1"/>
    <col min="10502" max="10502" width="10.33203125" style="67" customWidth="1"/>
    <col min="10503" max="10503" width="10.6640625" style="67" customWidth="1"/>
    <col min="10504" max="10504" width="10.5546875" style="67" customWidth="1"/>
    <col min="10505" max="10505" width="8.6640625" style="67" customWidth="1"/>
    <col min="10506" max="10514" width="4.5546875" style="67" customWidth="1"/>
    <col min="10515" max="10750" width="11.44140625" style="67"/>
    <col min="10751" max="10751" width="24.33203125" style="67" customWidth="1"/>
    <col min="10752" max="10752" width="11.44140625" style="67" customWidth="1"/>
    <col min="10753" max="10753" width="1.5546875" style="67" customWidth="1"/>
    <col min="10754" max="10754" width="10.6640625" style="67" customWidth="1"/>
    <col min="10755" max="10755" width="1.5546875" style="67" customWidth="1"/>
    <col min="10756" max="10756" width="11.44140625" style="67" customWidth="1"/>
    <col min="10757" max="10757" width="11.6640625" style="67" customWidth="1"/>
    <col min="10758" max="10758" width="10.33203125" style="67" customWidth="1"/>
    <col min="10759" max="10759" width="10.6640625" style="67" customWidth="1"/>
    <col min="10760" max="10760" width="10.5546875" style="67" customWidth="1"/>
    <col min="10761" max="10761" width="8.6640625" style="67" customWidth="1"/>
    <col min="10762" max="10770" width="4.5546875" style="67" customWidth="1"/>
    <col min="10771" max="11006" width="11.44140625" style="67"/>
    <col min="11007" max="11007" width="24.33203125" style="67" customWidth="1"/>
    <col min="11008" max="11008" width="11.44140625" style="67" customWidth="1"/>
    <col min="11009" max="11009" width="1.5546875" style="67" customWidth="1"/>
    <col min="11010" max="11010" width="10.6640625" style="67" customWidth="1"/>
    <col min="11011" max="11011" width="1.5546875" style="67" customWidth="1"/>
    <col min="11012" max="11012" width="11.44140625" style="67" customWidth="1"/>
    <col min="11013" max="11013" width="11.6640625" style="67" customWidth="1"/>
    <col min="11014" max="11014" width="10.33203125" style="67" customWidth="1"/>
    <col min="11015" max="11015" width="10.6640625" style="67" customWidth="1"/>
    <col min="11016" max="11016" width="10.5546875" style="67" customWidth="1"/>
    <col min="11017" max="11017" width="8.6640625" style="67" customWidth="1"/>
    <col min="11018" max="11026" width="4.5546875" style="67" customWidth="1"/>
    <col min="11027" max="11262" width="11.44140625" style="67"/>
    <col min="11263" max="11263" width="24.33203125" style="67" customWidth="1"/>
    <col min="11264" max="11264" width="11.44140625" style="67" customWidth="1"/>
    <col min="11265" max="11265" width="1.5546875" style="67" customWidth="1"/>
    <col min="11266" max="11266" width="10.6640625" style="67" customWidth="1"/>
    <col min="11267" max="11267" width="1.5546875" style="67" customWidth="1"/>
    <col min="11268" max="11268" width="11.44140625" style="67" customWidth="1"/>
    <col min="11269" max="11269" width="11.6640625" style="67" customWidth="1"/>
    <col min="11270" max="11270" width="10.33203125" style="67" customWidth="1"/>
    <col min="11271" max="11271" width="10.6640625" style="67" customWidth="1"/>
    <col min="11272" max="11272" width="10.5546875" style="67" customWidth="1"/>
    <col min="11273" max="11273" width="8.6640625" style="67" customWidth="1"/>
    <col min="11274" max="11282" width="4.5546875" style="67" customWidth="1"/>
    <col min="11283" max="11518" width="11.44140625" style="67"/>
    <col min="11519" max="11519" width="24.33203125" style="67" customWidth="1"/>
    <col min="11520" max="11520" width="11.44140625" style="67" customWidth="1"/>
    <col min="11521" max="11521" width="1.5546875" style="67" customWidth="1"/>
    <col min="11522" max="11522" width="10.6640625" style="67" customWidth="1"/>
    <col min="11523" max="11523" width="1.5546875" style="67" customWidth="1"/>
    <col min="11524" max="11524" width="11.44140625" style="67" customWidth="1"/>
    <col min="11525" max="11525" width="11.6640625" style="67" customWidth="1"/>
    <col min="11526" max="11526" width="10.33203125" style="67" customWidth="1"/>
    <col min="11527" max="11527" width="10.6640625" style="67" customWidth="1"/>
    <col min="11528" max="11528" width="10.5546875" style="67" customWidth="1"/>
    <col min="11529" max="11529" width="8.6640625" style="67" customWidth="1"/>
    <col min="11530" max="11538" width="4.5546875" style="67" customWidth="1"/>
    <col min="11539" max="11774" width="11.44140625" style="67"/>
    <col min="11775" max="11775" width="24.33203125" style="67" customWidth="1"/>
    <col min="11776" max="11776" width="11.44140625" style="67" customWidth="1"/>
    <col min="11777" max="11777" width="1.5546875" style="67" customWidth="1"/>
    <col min="11778" max="11778" width="10.6640625" style="67" customWidth="1"/>
    <col min="11779" max="11779" width="1.5546875" style="67" customWidth="1"/>
    <col min="11780" max="11780" width="11.44140625" style="67" customWidth="1"/>
    <col min="11781" max="11781" width="11.6640625" style="67" customWidth="1"/>
    <col min="11782" max="11782" width="10.33203125" style="67" customWidth="1"/>
    <col min="11783" max="11783" width="10.6640625" style="67" customWidth="1"/>
    <col min="11784" max="11784" width="10.5546875" style="67" customWidth="1"/>
    <col min="11785" max="11785" width="8.6640625" style="67" customWidth="1"/>
    <col min="11786" max="11794" width="4.5546875" style="67" customWidth="1"/>
    <col min="11795" max="12030" width="11.44140625" style="67"/>
    <col min="12031" max="12031" width="24.33203125" style="67" customWidth="1"/>
    <col min="12032" max="12032" width="11.44140625" style="67" customWidth="1"/>
    <col min="12033" max="12033" width="1.5546875" style="67" customWidth="1"/>
    <col min="12034" max="12034" width="10.6640625" style="67" customWidth="1"/>
    <col min="12035" max="12035" width="1.5546875" style="67" customWidth="1"/>
    <col min="12036" max="12036" width="11.44140625" style="67" customWidth="1"/>
    <col min="12037" max="12037" width="11.6640625" style="67" customWidth="1"/>
    <col min="12038" max="12038" width="10.33203125" style="67" customWidth="1"/>
    <col min="12039" max="12039" width="10.6640625" style="67" customWidth="1"/>
    <col min="12040" max="12040" width="10.5546875" style="67" customWidth="1"/>
    <col min="12041" max="12041" width="8.6640625" style="67" customWidth="1"/>
    <col min="12042" max="12050" width="4.5546875" style="67" customWidth="1"/>
    <col min="12051" max="12286" width="11.44140625" style="67"/>
    <col min="12287" max="12287" width="24.33203125" style="67" customWidth="1"/>
    <col min="12288" max="12288" width="11.44140625" style="67" customWidth="1"/>
    <col min="12289" max="12289" width="1.5546875" style="67" customWidth="1"/>
    <col min="12290" max="12290" width="10.6640625" style="67" customWidth="1"/>
    <col min="12291" max="12291" width="1.5546875" style="67" customWidth="1"/>
    <col min="12292" max="12292" width="11.44140625" style="67" customWidth="1"/>
    <col min="12293" max="12293" width="11.6640625" style="67" customWidth="1"/>
    <col min="12294" max="12294" width="10.33203125" style="67" customWidth="1"/>
    <col min="12295" max="12295" width="10.6640625" style="67" customWidth="1"/>
    <col min="12296" max="12296" width="10.5546875" style="67" customWidth="1"/>
    <col min="12297" max="12297" width="8.6640625" style="67" customWidth="1"/>
    <col min="12298" max="12306" width="4.5546875" style="67" customWidth="1"/>
    <col min="12307" max="12542" width="11.44140625" style="67"/>
    <col min="12543" max="12543" width="24.33203125" style="67" customWidth="1"/>
    <col min="12544" max="12544" width="11.44140625" style="67" customWidth="1"/>
    <col min="12545" max="12545" width="1.5546875" style="67" customWidth="1"/>
    <col min="12546" max="12546" width="10.6640625" style="67" customWidth="1"/>
    <col min="12547" max="12547" width="1.5546875" style="67" customWidth="1"/>
    <col min="12548" max="12548" width="11.44140625" style="67" customWidth="1"/>
    <col min="12549" max="12549" width="11.6640625" style="67" customWidth="1"/>
    <col min="12550" max="12550" width="10.33203125" style="67" customWidth="1"/>
    <col min="12551" max="12551" width="10.6640625" style="67" customWidth="1"/>
    <col min="12552" max="12552" width="10.5546875" style="67" customWidth="1"/>
    <col min="12553" max="12553" width="8.6640625" style="67" customWidth="1"/>
    <col min="12554" max="12562" width="4.5546875" style="67" customWidth="1"/>
    <col min="12563" max="12798" width="11.44140625" style="67"/>
    <col min="12799" max="12799" width="24.33203125" style="67" customWidth="1"/>
    <col min="12800" max="12800" width="11.44140625" style="67" customWidth="1"/>
    <col min="12801" max="12801" width="1.5546875" style="67" customWidth="1"/>
    <col min="12802" max="12802" width="10.6640625" style="67" customWidth="1"/>
    <col min="12803" max="12803" width="1.5546875" style="67" customWidth="1"/>
    <col min="12804" max="12804" width="11.44140625" style="67" customWidth="1"/>
    <col min="12805" max="12805" width="11.6640625" style="67" customWidth="1"/>
    <col min="12806" max="12806" width="10.33203125" style="67" customWidth="1"/>
    <col min="12807" max="12807" width="10.6640625" style="67" customWidth="1"/>
    <col min="12808" max="12808" width="10.5546875" style="67" customWidth="1"/>
    <col min="12809" max="12809" width="8.6640625" style="67" customWidth="1"/>
    <col min="12810" max="12818" width="4.5546875" style="67" customWidth="1"/>
    <col min="12819" max="13054" width="11.44140625" style="67"/>
    <col min="13055" max="13055" width="24.33203125" style="67" customWidth="1"/>
    <col min="13056" max="13056" width="11.44140625" style="67" customWidth="1"/>
    <col min="13057" max="13057" width="1.5546875" style="67" customWidth="1"/>
    <col min="13058" max="13058" width="10.6640625" style="67" customWidth="1"/>
    <col min="13059" max="13059" width="1.5546875" style="67" customWidth="1"/>
    <col min="13060" max="13060" width="11.44140625" style="67" customWidth="1"/>
    <col min="13061" max="13061" width="11.6640625" style="67" customWidth="1"/>
    <col min="13062" max="13062" width="10.33203125" style="67" customWidth="1"/>
    <col min="13063" max="13063" width="10.6640625" style="67" customWidth="1"/>
    <col min="13064" max="13064" width="10.5546875" style="67" customWidth="1"/>
    <col min="13065" max="13065" width="8.6640625" style="67" customWidth="1"/>
    <col min="13066" max="13074" width="4.5546875" style="67" customWidth="1"/>
    <col min="13075" max="13310" width="11.44140625" style="67"/>
    <col min="13311" max="13311" width="24.33203125" style="67" customWidth="1"/>
    <col min="13312" max="13312" width="11.44140625" style="67" customWidth="1"/>
    <col min="13313" max="13313" width="1.5546875" style="67" customWidth="1"/>
    <col min="13314" max="13314" width="10.6640625" style="67" customWidth="1"/>
    <col min="13315" max="13315" width="1.5546875" style="67" customWidth="1"/>
    <col min="13316" max="13316" width="11.44140625" style="67" customWidth="1"/>
    <col min="13317" max="13317" width="11.6640625" style="67" customWidth="1"/>
    <col min="13318" max="13318" width="10.33203125" style="67" customWidth="1"/>
    <col min="13319" max="13319" width="10.6640625" style="67" customWidth="1"/>
    <col min="13320" max="13320" width="10.5546875" style="67" customWidth="1"/>
    <col min="13321" max="13321" width="8.6640625" style="67" customWidth="1"/>
    <col min="13322" max="13330" width="4.5546875" style="67" customWidth="1"/>
    <col min="13331" max="13566" width="11.44140625" style="67"/>
    <col min="13567" max="13567" width="24.33203125" style="67" customWidth="1"/>
    <col min="13568" max="13568" width="11.44140625" style="67" customWidth="1"/>
    <col min="13569" max="13569" width="1.5546875" style="67" customWidth="1"/>
    <col min="13570" max="13570" width="10.6640625" style="67" customWidth="1"/>
    <col min="13571" max="13571" width="1.5546875" style="67" customWidth="1"/>
    <col min="13572" max="13572" width="11.44140625" style="67" customWidth="1"/>
    <col min="13573" max="13573" width="11.6640625" style="67" customWidth="1"/>
    <col min="13574" max="13574" width="10.33203125" style="67" customWidth="1"/>
    <col min="13575" max="13575" width="10.6640625" style="67" customWidth="1"/>
    <col min="13576" max="13576" width="10.5546875" style="67" customWidth="1"/>
    <col min="13577" max="13577" width="8.6640625" style="67" customWidth="1"/>
    <col min="13578" max="13586" width="4.5546875" style="67" customWidth="1"/>
    <col min="13587" max="13822" width="11.44140625" style="67"/>
    <col min="13823" max="13823" width="24.33203125" style="67" customWidth="1"/>
    <col min="13824" max="13824" width="11.44140625" style="67" customWidth="1"/>
    <col min="13825" max="13825" width="1.5546875" style="67" customWidth="1"/>
    <col min="13826" max="13826" width="10.6640625" style="67" customWidth="1"/>
    <col min="13827" max="13827" width="1.5546875" style="67" customWidth="1"/>
    <col min="13828" max="13828" width="11.44140625" style="67" customWidth="1"/>
    <col min="13829" max="13829" width="11.6640625" style="67" customWidth="1"/>
    <col min="13830" max="13830" width="10.33203125" style="67" customWidth="1"/>
    <col min="13831" max="13831" width="10.6640625" style="67" customWidth="1"/>
    <col min="13832" max="13832" width="10.5546875" style="67" customWidth="1"/>
    <col min="13833" max="13833" width="8.6640625" style="67" customWidth="1"/>
    <col min="13834" max="13842" width="4.5546875" style="67" customWidth="1"/>
    <col min="13843" max="14078" width="11.44140625" style="67"/>
    <col min="14079" max="14079" width="24.33203125" style="67" customWidth="1"/>
    <col min="14080" max="14080" width="11.44140625" style="67" customWidth="1"/>
    <col min="14081" max="14081" width="1.5546875" style="67" customWidth="1"/>
    <col min="14082" max="14082" width="10.6640625" style="67" customWidth="1"/>
    <col min="14083" max="14083" width="1.5546875" style="67" customWidth="1"/>
    <col min="14084" max="14084" width="11.44140625" style="67" customWidth="1"/>
    <col min="14085" max="14085" width="11.6640625" style="67" customWidth="1"/>
    <col min="14086" max="14086" width="10.33203125" style="67" customWidth="1"/>
    <col min="14087" max="14087" width="10.6640625" style="67" customWidth="1"/>
    <col min="14088" max="14088" width="10.5546875" style="67" customWidth="1"/>
    <col min="14089" max="14089" width="8.6640625" style="67" customWidth="1"/>
    <col min="14090" max="14098" width="4.5546875" style="67" customWidth="1"/>
    <col min="14099" max="14334" width="11.44140625" style="67"/>
    <col min="14335" max="14335" width="24.33203125" style="67" customWidth="1"/>
    <col min="14336" max="14336" width="11.44140625" style="67" customWidth="1"/>
    <col min="14337" max="14337" width="1.5546875" style="67" customWidth="1"/>
    <col min="14338" max="14338" width="10.6640625" style="67" customWidth="1"/>
    <col min="14339" max="14339" width="1.5546875" style="67" customWidth="1"/>
    <col min="14340" max="14340" width="11.44140625" style="67" customWidth="1"/>
    <col min="14341" max="14341" width="11.6640625" style="67" customWidth="1"/>
    <col min="14342" max="14342" width="10.33203125" style="67" customWidth="1"/>
    <col min="14343" max="14343" width="10.6640625" style="67" customWidth="1"/>
    <col min="14344" max="14344" width="10.5546875" style="67" customWidth="1"/>
    <col min="14345" max="14345" width="8.6640625" style="67" customWidth="1"/>
    <col min="14346" max="14354" width="4.5546875" style="67" customWidth="1"/>
    <col min="14355" max="14590" width="11.44140625" style="67"/>
    <col min="14591" max="14591" width="24.33203125" style="67" customWidth="1"/>
    <col min="14592" max="14592" width="11.44140625" style="67" customWidth="1"/>
    <col min="14593" max="14593" width="1.5546875" style="67" customWidth="1"/>
    <col min="14594" max="14594" width="10.6640625" style="67" customWidth="1"/>
    <col min="14595" max="14595" width="1.5546875" style="67" customWidth="1"/>
    <col min="14596" max="14596" width="11.44140625" style="67" customWidth="1"/>
    <col min="14597" max="14597" width="11.6640625" style="67" customWidth="1"/>
    <col min="14598" max="14598" width="10.33203125" style="67" customWidth="1"/>
    <col min="14599" max="14599" width="10.6640625" style="67" customWidth="1"/>
    <col min="14600" max="14600" width="10.5546875" style="67" customWidth="1"/>
    <col min="14601" max="14601" width="8.6640625" style="67" customWidth="1"/>
    <col min="14602" max="14610" width="4.5546875" style="67" customWidth="1"/>
    <col min="14611" max="14846" width="11.44140625" style="67"/>
    <col min="14847" max="14847" width="24.33203125" style="67" customWidth="1"/>
    <col min="14848" max="14848" width="11.44140625" style="67" customWidth="1"/>
    <col min="14849" max="14849" width="1.5546875" style="67" customWidth="1"/>
    <col min="14850" max="14850" width="10.6640625" style="67" customWidth="1"/>
    <col min="14851" max="14851" width="1.5546875" style="67" customWidth="1"/>
    <col min="14852" max="14852" width="11.44140625" style="67" customWidth="1"/>
    <col min="14853" max="14853" width="11.6640625" style="67" customWidth="1"/>
    <col min="14854" max="14854" width="10.33203125" style="67" customWidth="1"/>
    <col min="14855" max="14855" width="10.6640625" style="67" customWidth="1"/>
    <col min="14856" max="14856" width="10.5546875" style="67" customWidth="1"/>
    <col min="14857" max="14857" width="8.6640625" style="67" customWidth="1"/>
    <col min="14858" max="14866" width="4.5546875" style="67" customWidth="1"/>
    <col min="14867" max="15102" width="11.44140625" style="67"/>
    <col min="15103" max="15103" width="24.33203125" style="67" customWidth="1"/>
    <col min="15104" max="15104" width="11.44140625" style="67" customWidth="1"/>
    <col min="15105" max="15105" width="1.5546875" style="67" customWidth="1"/>
    <col min="15106" max="15106" width="10.6640625" style="67" customWidth="1"/>
    <col min="15107" max="15107" width="1.5546875" style="67" customWidth="1"/>
    <col min="15108" max="15108" width="11.44140625" style="67" customWidth="1"/>
    <col min="15109" max="15109" width="11.6640625" style="67" customWidth="1"/>
    <col min="15110" max="15110" width="10.33203125" style="67" customWidth="1"/>
    <col min="15111" max="15111" width="10.6640625" style="67" customWidth="1"/>
    <col min="15112" max="15112" width="10.5546875" style="67" customWidth="1"/>
    <col min="15113" max="15113" width="8.6640625" style="67" customWidth="1"/>
    <col min="15114" max="15122" width="4.5546875" style="67" customWidth="1"/>
    <col min="15123" max="15358" width="11.44140625" style="67"/>
    <col min="15359" max="15359" width="24.33203125" style="67" customWidth="1"/>
    <col min="15360" max="15360" width="11.44140625" style="67" customWidth="1"/>
    <col min="15361" max="15361" width="1.5546875" style="67" customWidth="1"/>
    <col min="15362" max="15362" width="10.6640625" style="67" customWidth="1"/>
    <col min="15363" max="15363" width="1.5546875" style="67" customWidth="1"/>
    <col min="15364" max="15364" width="11.44140625" style="67" customWidth="1"/>
    <col min="15365" max="15365" width="11.6640625" style="67" customWidth="1"/>
    <col min="15366" max="15366" width="10.33203125" style="67" customWidth="1"/>
    <col min="15367" max="15367" width="10.6640625" style="67" customWidth="1"/>
    <col min="15368" max="15368" width="10.5546875" style="67" customWidth="1"/>
    <col min="15369" max="15369" width="8.6640625" style="67" customWidth="1"/>
    <col min="15370" max="15378" width="4.5546875" style="67" customWidth="1"/>
    <col min="15379" max="15614" width="11.44140625" style="67"/>
    <col min="15615" max="15615" width="24.33203125" style="67" customWidth="1"/>
    <col min="15616" max="15616" width="11.44140625" style="67" customWidth="1"/>
    <col min="15617" max="15617" width="1.5546875" style="67" customWidth="1"/>
    <col min="15618" max="15618" width="10.6640625" style="67" customWidth="1"/>
    <col min="15619" max="15619" width="1.5546875" style="67" customWidth="1"/>
    <col min="15620" max="15620" width="11.44140625" style="67" customWidth="1"/>
    <col min="15621" max="15621" width="11.6640625" style="67" customWidth="1"/>
    <col min="15622" max="15622" width="10.33203125" style="67" customWidth="1"/>
    <col min="15623" max="15623" width="10.6640625" style="67" customWidth="1"/>
    <col min="15624" max="15624" width="10.5546875" style="67" customWidth="1"/>
    <col min="15625" max="15625" width="8.6640625" style="67" customWidth="1"/>
    <col min="15626" max="15634" width="4.5546875" style="67" customWidth="1"/>
    <col min="15635" max="15870" width="11.44140625" style="67"/>
    <col min="15871" max="15871" width="24.33203125" style="67" customWidth="1"/>
    <col min="15872" max="15872" width="11.44140625" style="67" customWidth="1"/>
    <col min="15873" max="15873" width="1.5546875" style="67" customWidth="1"/>
    <col min="15874" max="15874" width="10.6640625" style="67" customWidth="1"/>
    <col min="15875" max="15875" width="1.5546875" style="67" customWidth="1"/>
    <col min="15876" max="15876" width="11.44140625" style="67" customWidth="1"/>
    <col min="15877" max="15877" width="11.6640625" style="67" customWidth="1"/>
    <col min="15878" max="15878" width="10.33203125" style="67" customWidth="1"/>
    <col min="15879" max="15879" width="10.6640625" style="67" customWidth="1"/>
    <col min="15880" max="15880" width="10.5546875" style="67" customWidth="1"/>
    <col min="15881" max="15881" width="8.6640625" style="67" customWidth="1"/>
    <col min="15882" max="15890" width="4.5546875" style="67" customWidth="1"/>
    <col min="15891" max="16126" width="11.44140625" style="67"/>
    <col min="16127" max="16127" width="24.33203125" style="67" customWidth="1"/>
    <col min="16128" max="16128" width="11.44140625" style="67" customWidth="1"/>
    <col min="16129" max="16129" width="1.5546875" style="67" customWidth="1"/>
    <col min="16130" max="16130" width="10.6640625" style="67" customWidth="1"/>
    <col min="16131" max="16131" width="1.5546875" style="67" customWidth="1"/>
    <col min="16132" max="16132" width="11.44140625" style="67" customWidth="1"/>
    <col min="16133" max="16133" width="11.6640625" style="67" customWidth="1"/>
    <col min="16134" max="16134" width="10.33203125" style="67" customWidth="1"/>
    <col min="16135" max="16135" width="10.6640625" style="67" customWidth="1"/>
    <col min="16136" max="16136" width="10.5546875" style="67" customWidth="1"/>
    <col min="16137" max="16137" width="8.6640625" style="67" customWidth="1"/>
    <col min="16138" max="16146" width="4.5546875" style="67" customWidth="1"/>
    <col min="16147" max="16384" width="11.44140625" style="67"/>
  </cols>
  <sheetData>
    <row r="1" spans="1:10" s="39" customFormat="1" ht="13.8">
      <c r="A1" s="81" t="s">
        <v>348</v>
      </c>
      <c r="B1" s="38"/>
      <c r="E1" s="40"/>
      <c r="F1" s="41"/>
      <c r="H1" s="41"/>
      <c r="J1" s="38"/>
    </row>
    <row r="2" spans="1:10" s="39" customFormat="1" ht="13.8">
      <c r="A2" s="221" t="str">
        <f>'Regulated DF Calc'!A3</f>
        <v>Proposed Effective January 1, 2024</v>
      </c>
      <c r="B2" s="42"/>
      <c r="E2" s="40"/>
      <c r="F2" s="41"/>
      <c r="G2" s="43"/>
      <c r="H2" s="41"/>
      <c r="J2" s="38"/>
    </row>
    <row r="3" spans="1:10" s="39" customFormat="1" ht="12.75" customHeight="1">
      <c r="A3" s="138"/>
      <c r="B3" s="42"/>
      <c r="E3" s="40"/>
      <c r="F3" s="41"/>
      <c r="G3" s="43"/>
      <c r="H3" s="41"/>
      <c r="J3" s="38"/>
    </row>
    <row r="4" spans="1:10" s="8" customFormat="1" ht="13.8">
      <c r="A4" s="145"/>
      <c r="B4" s="145"/>
      <c r="C4" s="145"/>
      <c r="D4" s="145"/>
      <c r="E4" s="145"/>
      <c r="F4" s="145"/>
      <c r="G4" s="145"/>
    </row>
    <row r="5" spans="1:10" s="8" customFormat="1" ht="41.4">
      <c r="B5" s="146" t="s">
        <v>370</v>
      </c>
      <c r="C5" s="146"/>
      <c r="G5" s="146" t="s">
        <v>370</v>
      </c>
      <c r="H5" s="146"/>
    </row>
    <row r="6" spans="1:10" s="39" customFormat="1" ht="13.8">
      <c r="A6" s="48"/>
      <c r="B6" s="49" t="s">
        <v>240</v>
      </c>
      <c r="C6" s="46"/>
      <c r="D6" s="46"/>
      <c r="E6" s="47" t="s">
        <v>242</v>
      </c>
      <c r="F6" s="47"/>
      <c r="G6" s="45" t="s">
        <v>241</v>
      </c>
      <c r="H6" s="47"/>
    </row>
    <row r="7" spans="1:10" s="39" customFormat="1" ht="13.8">
      <c r="A7" s="50"/>
      <c r="B7" s="49" t="s">
        <v>69</v>
      </c>
      <c r="C7" s="46"/>
      <c r="D7" s="46"/>
      <c r="E7" s="47" t="s">
        <v>63</v>
      </c>
      <c r="F7" s="47"/>
      <c r="G7" s="47" t="s">
        <v>69</v>
      </c>
      <c r="H7" s="47"/>
    </row>
    <row r="8" spans="1:10" s="39" customFormat="1" ht="13.8">
      <c r="A8" s="52" t="s">
        <v>435</v>
      </c>
      <c r="B8" s="51"/>
      <c r="C8" s="52"/>
      <c r="D8" s="52"/>
      <c r="E8" s="53"/>
      <c r="F8" s="54"/>
      <c r="G8" s="55"/>
      <c r="H8" s="54"/>
    </row>
    <row r="9" spans="1:10" s="39" customFormat="1" ht="13.8">
      <c r="A9" s="39" t="s">
        <v>323</v>
      </c>
      <c r="B9" s="222">
        <v>5.5051957773418083</v>
      </c>
      <c r="C9" s="250"/>
      <c r="D9" s="58"/>
      <c r="E9" s="44">
        <f ca="1">+'Regulated DF Calc'!N27</f>
        <v>7.385392463066999E-2</v>
      </c>
      <c r="F9" s="44"/>
      <c r="G9" s="222">
        <f ca="1">+B9+E9</f>
        <v>5.5790497019724787</v>
      </c>
      <c r="H9" s="75"/>
    </row>
    <row r="10" spans="1:10" s="39" customFormat="1" ht="13.8">
      <c r="B10" s="38"/>
      <c r="C10" s="251"/>
      <c r="D10" s="58"/>
      <c r="E10" s="44"/>
      <c r="F10" s="44"/>
      <c r="G10" s="38"/>
      <c r="H10" s="44"/>
    </row>
    <row r="11" spans="1:10" s="39" customFormat="1" ht="13.8">
      <c r="A11" s="52" t="s">
        <v>436</v>
      </c>
      <c r="B11" s="55"/>
      <c r="C11" s="252"/>
      <c r="D11" s="59"/>
      <c r="E11" s="60"/>
      <c r="F11" s="60"/>
      <c r="G11" s="55"/>
      <c r="H11" s="60"/>
    </row>
    <row r="12" spans="1:10" s="39" customFormat="1" ht="13.8">
      <c r="A12" s="39" t="s">
        <v>317</v>
      </c>
      <c r="B12" s="222">
        <v>12.216998656405901</v>
      </c>
      <c r="C12" s="253"/>
      <c r="E12" s="44">
        <f ca="1">+'Regulated DF Calc'!N11</f>
        <v>0.18811029038282417</v>
      </c>
      <c r="F12" s="41"/>
      <c r="G12" s="222">
        <f t="shared" ref="G12:G25" ca="1" si="0">+B12+E12</f>
        <v>12.405108946788724</v>
      </c>
      <c r="H12" s="224"/>
    </row>
    <row r="13" spans="1:10" s="39" customFormat="1" ht="13.8">
      <c r="A13" s="39" t="s">
        <v>318</v>
      </c>
      <c r="B13" s="222">
        <v>9.0487499040186616</v>
      </c>
      <c r="C13" s="253"/>
      <c r="E13" s="44">
        <f ca="1">+'Regulated DF Calc'!N10</f>
        <v>9.427236261679639E-2</v>
      </c>
      <c r="F13" s="41"/>
      <c r="G13" s="222">
        <f t="shared" ca="1" si="0"/>
        <v>9.1430222666354588</v>
      </c>
      <c r="H13" s="224"/>
    </row>
    <row r="14" spans="1:10" s="39" customFormat="1" ht="13.8">
      <c r="A14" s="39" t="s">
        <v>21</v>
      </c>
      <c r="B14" s="222">
        <v>15.808897715890032</v>
      </c>
      <c r="C14" s="253"/>
      <c r="E14" s="44">
        <f ca="1">+'Regulated DF Calc'!N14</f>
        <v>0.31978749365080111</v>
      </c>
      <c r="F14" s="41"/>
      <c r="G14" s="222">
        <f t="shared" ca="1" si="0"/>
        <v>16.128685209540834</v>
      </c>
      <c r="H14" s="224"/>
    </row>
    <row r="15" spans="1:10" s="39" customFormat="1" ht="13.8">
      <c r="A15" s="39" t="s">
        <v>319</v>
      </c>
      <c r="B15" s="222">
        <v>23.043346573835045</v>
      </c>
      <c r="C15" s="253"/>
      <c r="E15" s="44">
        <f ca="1">+'Regulated DF Calc'!N16</f>
        <v>0.4796812404762017</v>
      </c>
      <c r="F15" s="41"/>
      <c r="G15" s="222">
        <f t="shared" ca="1" si="0"/>
        <v>23.523027814311245</v>
      </c>
      <c r="H15" s="224"/>
    </row>
    <row r="16" spans="1:10" s="39" customFormat="1" ht="13.8">
      <c r="A16" s="39" t="s">
        <v>320</v>
      </c>
      <c r="B16" s="222">
        <v>34.195444827162717</v>
      </c>
      <c r="C16" s="253"/>
      <c r="E16" s="44">
        <f ca="1">+'Regulated DF Calc'!N17</f>
        <v>0.72422461797387316</v>
      </c>
      <c r="F16" s="41"/>
      <c r="G16" s="222">
        <f t="shared" ca="1" si="0"/>
        <v>34.919669445136591</v>
      </c>
      <c r="H16" s="224"/>
    </row>
    <row r="17" spans="1:8" s="39" customFormat="1" ht="13.8">
      <c r="A17" s="39" t="s">
        <v>321</v>
      </c>
      <c r="B17" s="222">
        <v>42.542443483568626</v>
      </c>
      <c r="C17" s="253"/>
      <c r="E17" s="44">
        <f ca="1">+'Regulated DF Calc'!N18</f>
        <v>0.91233490835669739</v>
      </c>
      <c r="F17" s="41"/>
      <c r="G17" s="222">
        <f t="shared" ca="1" si="0"/>
        <v>43.454778391925323</v>
      </c>
      <c r="H17" s="224"/>
    </row>
    <row r="18" spans="1:8" s="39" customFormat="1" ht="13.8">
      <c r="A18" s="39" t="s">
        <v>322</v>
      </c>
      <c r="B18" s="222">
        <v>52.95944213997452</v>
      </c>
      <c r="C18" s="253"/>
      <c r="E18" s="44">
        <f ca="1">+'Regulated DF Calc'!N19</f>
        <v>1.1004451987395214</v>
      </c>
      <c r="F18" s="41"/>
      <c r="G18" s="222">
        <f t="shared" ca="1" si="0"/>
        <v>54.059887338714042</v>
      </c>
      <c r="H18" s="224"/>
    </row>
    <row r="19" spans="1:8" s="39" customFormat="1" ht="13.8">
      <c r="A19" s="39" t="s">
        <v>316</v>
      </c>
      <c r="B19" s="222">
        <v>63.506440796380424</v>
      </c>
      <c r="C19" s="253"/>
      <c r="E19" s="44">
        <f ca="1">+'Regulated DF Calc'!N20</f>
        <v>1.2885554891223454</v>
      </c>
      <c r="F19" s="41"/>
      <c r="G19" s="222">
        <f t="shared" ca="1" si="0"/>
        <v>64.794996285502776</v>
      </c>
      <c r="H19" s="224"/>
    </row>
    <row r="20" spans="1:8" s="39" customFormat="1" ht="13.8">
      <c r="A20" s="39" t="s">
        <v>244</v>
      </c>
      <c r="B20" s="222">
        <v>73.620533240206129</v>
      </c>
      <c r="C20" s="253"/>
      <c r="E20" s="44">
        <f ca="1">+'Regulated DF Calc'!N21</f>
        <v>1.5088213846988145</v>
      </c>
      <c r="F20" s="41"/>
      <c r="G20" s="222">
        <f t="shared" ca="1" si="0"/>
        <v>75.129354624904948</v>
      </c>
      <c r="H20" s="224"/>
    </row>
    <row r="21" spans="1:8" s="39" customFormat="1" ht="13.8">
      <c r="A21" s="39" t="s">
        <v>245</v>
      </c>
      <c r="B21" s="222">
        <v>80.880438109192212</v>
      </c>
      <c r="C21" s="253"/>
      <c r="E21" s="44">
        <f ca="1">+'Regulated DF Calc'!N22</f>
        <v>1.6647760698879939</v>
      </c>
      <c r="F21" s="41"/>
      <c r="G21" s="222">
        <f t="shared" ca="1" si="0"/>
        <v>82.545214179080205</v>
      </c>
      <c r="H21" s="224"/>
    </row>
    <row r="22" spans="1:8" s="39" customFormat="1" ht="13.8">
      <c r="A22" s="39" t="s">
        <v>246</v>
      </c>
      <c r="B22" s="222">
        <v>94.857436765598123</v>
      </c>
      <c r="C22" s="253"/>
      <c r="E22" s="75">
        <f ca="1">'Regulated DF Calc'!N23</f>
        <v>1.8528863602708181</v>
      </c>
      <c r="F22" s="41"/>
      <c r="G22" s="222">
        <f t="shared" ca="1" si="0"/>
        <v>96.710323125868939</v>
      </c>
      <c r="H22" s="224"/>
    </row>
    <row r="23" spans="1:8" s="39" customFormat="1" ht="13.8">
      <c r="A23" s="39" t="s">
        <v>312</v>
      </c>
      <c r="B23" s="222">
        <v>13.29519577734181</v>
      </c>
      <c r="C23" s="253"/>
      <c r="E23" s="75">
        <f ca="1">E24</f>
        <v>7.3853924630670004E-2</v>
      </c>
      <c r="F23" s="41"/>
      <c r="G23" s="222">
        <f t="shared" ca="1" si="0"/>
        <v>13.369049701972481</v>
      </c>
      <c r="H23" s="224"/>
    </row>
    <row r="24" spans="1:8" s="39" customFormat="1" ht="13.8">
      <c r="A24" s="39" t="s">
        <v>247</v>
      </c>
      <c r="B24" s="222">
        <v>5.6651957773418085</v>
      </c>
      <c r="C24" s="253"/>
      <c r="E24" s="44">
        <f ca="1">+'Regulated DF Calc'!N13</f>
        <v>7.3853924630670004E-2</v>
      </c>
      <c r="F24" s="41"/>
      <c r="G24" s="222">
        <f t="shared" ca="1" si="0"/>
        <v>5.7390497019724789</v>
      </c>
      <c r="H24" s="224"/>
    </row>
    <row r="25" spans="1:8" s="39" customFormat="1" ht="13.8">
      <c r="A25" s="39" t="s">
        <v>248</v>
      </c>
      <c r="B25" s="222">
        <v>10.524874836831724</v>
      </c>
      <c r="C25" s="253"/>
      <c r="E25" s="44">
        <f ca="1">+'Regulated DF Calc'!N12</f>
        <v>0.16026301644855384</v>
      </c>
      <c r="F25" s="41"/>
      <c r="G25" s="222">
        <f t="shared" ca="1" si="0"/>
        <v>10.685137853280278</v>
      </c>
      <c r="H25" s="224"/>
    </row>
    <row r="26" spans="1:8" s="39" customFormat="1" ht="13.8">
      <c r="B26" s="222"/>
      <c r="C26" s="253"/>
      <c r="E26" s="44"/>
      <c r="F26" s="41"/>
      <c r="G26" s="222"/>
      <c r="H26" s="224"/>
    </row>
    <row r="27" spans="1:8" s="39" customFormat="1" ht="13.8">
      <c r="A27" s="39" t="s">
        <v>400</v>
      </c>
      <c r="B27" s="222">
        <v>9.0487499040186616</v>
      </c>
      <c r="C27" s="254"/>
      <c r="E27" s="44">
        <f ca="1">E13</f>
        <v>9.427236261679639E-2</v>
      </c>
      <c r="F27" s="41"/>
      <c r="G27" s="222">
        <f t="shared" ref="G27:G33" ca="1" si="1">+B27+E27</f>
        <v>9.1430222666354588</v>
      </c>
      <c r="H27" s="224"/>
    </row>
    <row r="28" spans="1:8" s="39" customFormat="1" ht="13.8">
      <c r="A28" s="39" t="s">
        <v>401</v>
      </c>
      <c r="B28" s="222">
        <v>12.216998656405901</v>
      </c>
      <c r="C28" s="254"/>
      <c r="E28" s="44">
        <f ca="1">E12</f>
        <v>0.18811029038282417</v>
      </c>
      <c r="F28" s="41"/>
      <c r="G28" s="222">
        <f t="shared" ca="1" si="1"/>
        <v>12.405108946788724</v>
      </c>
      <c r="H28" s="224"/>
    </row>
    <row r="29" spans="1:8" s="39" customFormat="1" ht="13.8">
      <c r="A29" s="39" t="s">
        <v>402</v>
      </c>
      <c r="B29" s="222">
        <v>5.6651957773418085</v>
      </c>
      <c r="C29" s="254"/>
      <c r="E29" s="97">
        <f ca="1">E24</f>
        <v>7.3853924630670004E-2</v>
      </c>
      <c r="F29" s="41"/>
      <c r="G29" s="222">
        <f t="shared" ca="1" si="1"/>
        <v>5.7390497019724789</v>
      </c>
      <c r="H29" s="224"/>
    </row>
    <row r="30" spans="1:8" s="39" customFormat="1" ht="13.8">
      <c r="A30" s="39" t="s">
        <v>403</v>
      </c>
      <c r="B30" s="222">
        <v>10.524874836831724</v>
      </c>
      <c r="C30" s="254"/>
      <c r="E30" s="44">
        <f ca="1">E25</f>
        <v>0.16026301644855384</v>
      </c>
      <c r="F30" s="41"/>
      <c r="G30" s="222">
        <f t="shared" ca="1" si="1"/>
        <v>10.685137853280278</v>
      </c>
      <c r="H30" s="224"/>
    </row>
    <row r="31" spans="1:8" s="39" customFormat="1" ht="13.8">
      <c r="A31" s="39" t="s">
        <v>404</v>
      </c>
      <c r="B31" s="222">
        <v>15.808897715890032</v>
      </c>
      <c r="C31" s="254"/>
      <c r="E31" s="44">
        <f ca="1">E14</f>
        <v>0.31978749365080111</v>
      </c>
      <c r="F31" s="41"/>
      <c r="G31" s="222">
        <f t="shared" ca="1" si="1"/>
        <v>16.128685209540834</v>
      </c>
      <c r="H31" s="224"/>
    </row>
    <row r="32" spans="1:8" s="39" customFormat="1" ht="13.8">
      <c r="A32" s="39" t="s">
        <v>405</v>
      </c>
      <c r="B32" s="222">
        <v>23.043346573835045</v>
      </c>
      <c r="C32" s="254"/>
      <c r="E32" s="97">
        <f ca="1">((References!$C$29*'Regulated DF Calc'!$H$115)*(References!$D$69/References!$F$78))*References!$C$12</f>
        <v>0.47968124047620164</v>
      </c>
      <c r="F32" s="41"/>
      <c r="G32" s="222">
        <f t="shared" ca="1" si="1"/>
        <v>23.523027814311245</v>
      </c>
      <c r="H32" s="224"/>
    </row>
    <row r="33" spans="1:8" s="39" customFormat="1" ht="13.8">
      <c r="A33" s="39" t="s">
        <v>406</v>
      </c>
      <c r="B33" s="222">
        <v>34.195444827162717</v>
      </c>
      <c r="C33" s="254"/>
      <c r="E33" s="97">
        <f ca="1">((References!$C$31*'Regulated DF Calc'!$H$115)*(References!$D$69/References!$F$78))*References!$C$12</f>
        <v>0.72422461797387316</v>
      </c>
      <c r="F33" s="41"/>
      <c r="G33" s="222">
        <f t="shared" ca="1" si="1"/>
        <v>34.919669445136591</v>
      </c>
      <c r="H33" s="224"/>
    </row>
    <row r="34" spans="1:8" s="39" customFormat="1" ht="13.8">
      <c r="B34" s="222"/>
      <c r="C34" s="253"/>
      <c r="E34" s="44"/>
      <c r="F34" s="41"/>
      <c r="G34" s="222"/>
      <c r="H34" s="224"/>
    </row>
    <row r="35" spans="1:8" s="39" customFormat="1" ht="13.8">
      <c r="A35" s="52" t="s">
        <v>437</v>
      </c>
      <c r="B35" s="55"/>
      <c r="C35" s="255"/>
      <c r="D35" s="62"/>
      <c r="E35" s="60"/>
      <c r="F35" s="63"/>
      <c r="G35" s="55"/>
      <c r="H35" s="63"/>
    </row>
    <row r="36" spans="1:8" s="39" customFormat="1" ht="13.8">
      <c r="A36" s="74" t="s">
        <v>276</v>
      </c>
      <c r="B36" s="222">
        <v>4.2951957773418084</v>
      </c>
      <c r="C36" s="254"/>
      <c r="D36" s="223"/>
      <c r="E36" s="75">
        <f ca="1">+'Regulated DF Calc'!N24</f>
        <v>7.3853924630670004E-2</v>
      </c>
      <c r="F36" s="224"/>
      <c r="G36" s="222">
        <f t="shared" ref="G36:G41" ca="1" si="2">+B36+E36</f>
        <v>4.3690497019724788</v>
      </c>
      <c r="H36" s="224"/>
    </row>
    <row r="37" spans="1:8" s="39" customFormat="1" ht="13.8">
      <c r="A37" s="39" t="s">
        <v>249</v>
      </c>
      <c r="B37" s="222">
        <v>4.2101151631422402</v>
      </c>
      <c r="C37" s="254"/>
      <c r="D37" s="223"/>
      <c r="E37" s="75">
        <f ca="1">+E12/References!C12</f>
        <v>4.3443485076864706E-2</v>
      </c>
      <c r="F37" s="224"/>
      <c r="G37" s="222">
        <f t="shared" ca="1" si="2"/>
        <v>4.253558648219105</v>
      </c>
      <c r="H37" s="224"/>
    </row>
    <row r="38" spans="1:8" s="39" customFormat="1" ht="13.8">
      <c r="A38" s="39" t="s">
        <v>250</v>
      </c>
      <c r="B38" s="222">
        <v>4.570391554683618</v>
      </c>
      <c r="C38" s="254"/>
      <c r="D38" s="223"/>
      <c r="E38" s="75">
        <f ca="1">+E9*2</f>
        <v>0.14770784926133998</v>
      </c>
      <c r="F38" s="224"/>
      <c r="G38" s="222">
        <f t="shared" ca="1" si="2"/>
        <v>4.718099403944958</v>
      </c>
      <c r="H38" s="224"/>
    </row>
    <row r="39" spans="1:8" s="39" customFormat="1" ht="13.8">
      <c r="A39" s="39" t="s">
        <v>251</v>
      </c>
      <c r="B39" s="222">
        <v>4.8055873320254259</v>
      </c>
      <c r="C39" s="254"/>
      <c r="D39" s="223"/>
      <c r="E39" s="75">
        <f ca="1">+E9*3</f>
        <v>0.22156177389200998</v>
      </c>
      <c r="F39" s="224"/>
      <c r="G39" s="222">
        <f t="shared" ca="1" si="2"/>
        <v>5.0271491059174362</v>
      </c>
      <c r="H39" s="224"/>
    </row>
    <row r="40" spans="1:8" s="39" customFormat="1" ht="13.8">
      <c r="A40" s="39" t="s">
        <v>252</v>
      </c>
      <c r="B40" s="222">
        <v>4.2951957773418084</v>
      </c>
      <c r="C40" s="254"/>
      <c r="D40" s="223"/>
      <c r="E40" s="75">
        <f ca="1">+E9</f>
        <v>7.385392463066999E-2</v>
      </c>
      <c r="F40" s="224"/>
      <c r="G40" s="222">
        <f t="shared" ca="1" si="2"/>
        <v>4.3690497019724788</v>
      </c>
      <c r="H40" s="224"/>
    </row>
    <row r="41" spans="1:8" s="39" customFormat="1" ht="13.8">
      <c r="A41" s="39" t="s">
        <v>253</v>
      </c>
      <c r="B41" s="222">
        <v>5.6651957773418085</v>
      </c>
      <c r="C41" s="254"/>
      <c r="D41" s="223"/>
      <c r="E41" s="75">
        <f ca="1">+'Regulated DF Calc'!N25</f>
        <v>7.385392463066999E-2</v>
      </c>
      <c r="F41" s="224"/>
      <c r="G41" s="222">
        <f t="shared" ca="1" si="2"/>
        <v>5.7390497019724789</v>
      </c>
      <c r="H41" s="224"/>
    </row>
    <row r="42" spans="1:8" s="39" customFormat="1" ht="13.8">
      <c r="B42" s="38"/>
      <c r="C42" s="254"/>
      <c r="E42" s="44"/>
      <c r="F42" s="41"/>
      <c r="G42" s="38"/>
      <c r="H42" s="41"/>
    </row>
    <row r="43" spans="1:8" s="39" customFormat="1" ht="13.8">
      <c r="A43" s="39" t="s">
        <v>408</v>
      </c>
      <c r="B43" s="222">
        <v>7.8218378972685896</v>
      </c>
      <c r="C43" s="254"/>
      <c r="E43" s="44">
        <f ca="1">E12/References!$C$12</f>
        <v>4.3443485076864706E-2</v>
      </c>
      <c r="F43" s="41"/>
      <c r="G43" s="222">
        <f ca="1">+B43+E43</f>
        <v>7.8652813823454544</v>
      </c>
      <c r="H43" s="224"/>
    </row>
    <row r="44" spans="1:8" s="39" customFormat="1" ht="13.8">
      <c r="A44" s="39" t="s">
        <v>409</v>
      </c>
      <c r="B44" s="222">
        <v>10.666031427965549</v>
      </c>
      <c r="C44" s="254"/>
      <c r="E44" s="44">
        <f ca="1">E29</f>
        <v>7.3853924630670004E-2</v>
      </c>
      <c r="F44" s="41"/>
      <c r="G44" s="222">
        <f ca="1">+B44+E44</f>
        <v>10.73988535259622</v>
      </c>
      <c r="H44" s="224"/>
    </row>
    <row r="45" spans="1:8" s="39" customFormat="1" ht="13.8">
      <c r="A45" s="39" t="s">
        <v>410</v>
      </c>
      <c r="B45" s="222">
        <v>10.321583503901408</v>
      </c>
      <c r="C45" s="254"/>
      <c r="E45" s="44">
        <f ca="1">E32/References!$C$12</f>
        <v>0.11078088694600499</v>
      </c>
      <c r="F45" s="41"/>
      <c r="G45" s="222">
        <f ca="1">+B45+E45</f>
        <v>10.432364390847413</v>
      </c>
      <c r="H45" s="224"/>
    </row>
    <row r="46" spans="1:8" s="39" customFormat="1" ht="13.8">
      <c r="A46" s="39" t="s">
        <v>411</v>
      </c>
      <c r="B46" s="222">
        <v>12.898128400498591</v>
      </c>
      <c r="C46" s="254"/>
      <c r="E46" s="44">
        <f ca="1">E33/References!$C$12</f>
        <v>0.16725741754592913</v>
      </c>
      <c r="F46" s="41"/>
      <c r="G46" s="222">
        <f ca="1">+B46+E46</f>
        <v>13.06538581804452</v>
      </c>
      <c r="H46" s="224"/>
    </row>
    <row r="47" spans="1:8" s="39" customFormat="1" ht="13.8">
      <c r="B47" s="225"/>
      <c r="C47" s="254"/>
      <c r="E47" s="44"/>
      <c r="F47" s="41"/>
      <c r="G47" s="222"/>
      <c r="H47" s="222"/>
    </row>
    <row r="48" spans="1:8" s="39" customFormat="1" ht="13.8">
      <c r="A48" s="52" t="s">
        <v>438</v>
      </c>
      <c r="B48" s="55"/>
      <c r="C48" s="255"/>
      <c r="D48" s="62"/>
      <c r="E48" s="60"/>
      <c r="F48" s="63"/>
      <c r="G48" s="55"/>
      <c r="H48" s="63"/>
    </row>
    <row r="49" spans="1:11" s="39" customFormat="1" ht="13.8">
      <c r="A49" s="39" t="s">
        <v>254</v>
      </c>
      <c r="B49" s="222">
        <v>19.153219769639001</v>
      </c>
      <c r="C49" s="253"/>
      <c r="D49" s="223"/>
      <c r="E49" s="75">
        <f ca="1">$E$63</f>
        <v>0.27152178173040442</v>
      </c>
      <c r="F49" s="224"/>
      <c r="G49" s="222">
        <f ca="1">+B49+E49</f>
        <v>19.424741551369404</v>
      </c>
      <c r="H49" s="224"/>
    </row>
    <row r="50" spans="1:11" s="39" customFormat="1" ht="13.8">
      <c r="A50" s="39" t="s">
        <v>255</v>
      </c>
      <c r="B50" s="222">
        <v>19.153219769639001</v>
      </c>
      <c r="C50" s="253"/>
      <c r="D50" s="223"/>
      <c r="E50" s="75">
        <f ca="1">$E$63</f>
        <v>0.27152178173040442</v>
      </c>
      <c r="F50" s="224"/>
      <c r="G50" s="222">
        <f ca="1">+B50+E50</f>
        <v>19.424741551369404</v>
      </c>
      <c r="H50" s="224"/>
    </row>
    <row r="51" spans="1:11" s="39" customFormat="1" ht="13.8">
      <c r="A51" s="39" t="s">
        <v>243</v>
      </c>
      <c r="B51" s="222">
        <v>19.153219769639001</v>
      </c>
      <c r="C51" s="253"/>
      <c r="D51" s="223"/>
      <c r="E51" s="75">
        <f ca="1">$E$63</f>
        <v>0.27152178173040442</v>
      </c>
      <c r="F51" s="224"/>
      <c r="G51" s="222">
        <f ca="1">+B51+E51</f>
        <v>19.424741551369404</v>
      </c>
      <c r="H51" s="224"/>
    </row>
    <row r="52" spans="1:11" s="39" customFormat="1" ht="13.8">
      <c r="B52" s="38"/>
      <c r="C52" s="254"/>
      <c r="E52" s="44"/>
      <c r="F52" s="41"/>
      <c r="G52" s="38"/>
      <c r="H52" s="41"/>
    </row>
    <row r="53" spans="1:11" s="39" customFormat="1" ht="13.8">
      <c r="A53" s="52" t="s">
        <v>439</v>
      </c>
      <c r="B53" s="55"/>
      <c r="C53" s="255"/>
      <c r="D53" s="62"/>
      <c r="E53" s="60"/>
      <c r="F53" s="63"/>
      <c r="G53" s="55"/>
      <c r="H53" s="63"/>
    </row>
    <row r="54" spans="1:11" s="40" customFormat="1" ht="13.8">
      <c r="A54" s="40" t="s">
        <v>256</v>
      </c>
      <c r="B54" s="61"/>
      <c r="C54" s="256"/>
      <c r="E54" s="57"/>
      <c r="F54" s="64"/>
      <c r="G54" s="61"/>
      <c r="H54" s="64"/>
      <c r="I54" s="39"/>
      <c r="J54" s="61" t="s">
        <v>277</v>
      </c>
      <c r="K54" s="40" t="s">
        <v>63</v>
      </c>
    </row>
    <row r="55" spans="1:11" s="39" customFormat="1" ht="13.8">
      <c r="A55" s="39" t="s">
        <v>257</v>
      </c>
      <c r="B55" s="222">
        <v>3.2352342950685493</v>
      </c>
      <c r="C55" s="267"/>
      <c r="D55" s="223"/>
      <c r="E55" s="75">
        <f ca="1">+$K$55</f>
        <v>0.13683599999999985</v>
      </c>
      <c r="F55" s="224"/>
      <c r="G55" s="222">
        <f t="shared" ref="G55:G61" ca="1" si="3">+B55+E55</f>
        <v>3.3720702950685491</v>
      </c>
      <c r="H55" s="224"/>
      <c r="J55" s="38">
        <v>50</v>
      </c>
      <c r="K55" s="76">
        <f ca="1">J55*(References!D69*References!F78)</f>
        <v>0.13683599999999985</v>
      </c>
    </row>
    <row r="56" spans="1:11" s="39" customFormat="1" ht="13.8">
      <c r="A56" s="39" t="s">
        <v>324</v>
      </c>
      <c r="B56" s="222">
        <v>3.2352342950685493</v>
      </c>
      <c r="C56" s="267"/>
      <c r="D56" s="223"/>
      <c r="E56" s="75">
        <f t="shared" ref="E56:E61" ca="1" si="4">$K$55</f>
        <v>0.13683599999999985</v>
      </c>
      <c r="F56" s="224"/>
      <c r="G56" s="222">
        <f t="shared" ca="1" si="3"/>
        <v>3.3720702950685491</v>
      </c>
      <c r="H56" s="224"/>
    </row>
    <row r="57" spans="1:11" s="39" customFormat="1" ht="13.8">
      <c r="A57" s="39" t="s">
        <v>325</v>
      </c>
      <c r="B57" s="222">
        <v>3.2352342950685493</v>
      </c>
      <c r="C57" s="267"/>
      <c r="D57" s="223"/>
      <c r="E57" s="75">
        <f t="shared" ca="1" si="4"/>
        <v>0.13683599999999985</v>
      </c>
      <c r="F57" s="224"/>
      <c r="G57" s="222">
        <f t="shared" ca="1" si="3"/>
        <v>3.3720702950685491</v>
      </c>
      <c r="H57" s="224"/>
    </row>
    <row r="58" spans="1:11" s="39" customFormat="1" ht="13.8">
      <c r="A58" s="39" t="s">
        <v>326</v>
      </c>
      <c r="B58" s="222">
        <v>3.2352342950685493</v>
      </c>
      <c r="C58" s="267"/>
      <c r="D58" s="223"/>
      <c r="E58" s="75">
        <f t="shared" ca="1" si="4"/>
        <v>0.13683599999999985</v>
      </c>
      <c r="F58" s="224"/>
      <c r="G58" s="222">
        <f t="shared" ca="1" si="3"/>
        <v>3.3720702950685491</v>
      </c>
      <c r="H58" s="224"/>
    </row>
    <row r="59" spans="1:11" s="39" customFormat="1" ht="13.8">
      <c r="A59" s="39" t="s">
        <v>258</v>
      </c>
      <c r="B59" s="222">
        <v>3.2352342950685493</v>
      </c>
      <c r="C59" s="267"/>
      <c r="D59" s="223"/>
      <c r="E59" s="75">
        <f t="shared" ca="1" si="4"/>
        <v>0.13683599999999985</v>
      </c>
      <c r="F59" s="224"/>
      <c r="G59" s="222">
        <f t="shared" ca="1" si="3"/>
        <v>3.3720702950685491</v>
      </c>
      <c r="H59" s="224"/>
    </row>
    <row r="60" spans="1:11" s="39" customFormat="1" ht="13.8">
      <c r="A60" s="39" t="s">
        <v>327</v>
      </c>
      <c r="B60" s="222">
        <v>3.2352342950685493</v>
      </c>
      <c r="C60" s="267"/>
      <c r="D60" s="223"/>
      <c r="E60" s="75">
        <f t="shared" ca="1" si="4"/>
        <v>0.13683599999999985</v>
      </c>
      <c r="F60" s="224"/>
      <c r="G60" s="222">
        <f t="shared" ca="1" si="3"/>
        <v>3.3720702950685491</v>
      </c>
      <c r="H60" s="224"/>
    </row>
    <row r="61" spans="1:11" s="39" customFormat="1" ht="13.8">
      <c r="A61" s="39" t="s">
        <v>328</v>
      </c>
      <c r="B61" s="222">
        <v>3.2352342950685493</v>
      </c>
      <c r="C61" s="267"/>
      <c r="D61" s="223"/>
      <c r="E61" s="75">
        <f t="shared" ca="1" si="4"/>
        <v>0.13683599999999985</v>
      </c>
      <c r="F61" s="224"/>
      <c r="G61" s="222">
        <f t="shared" ca="1" si="3"/>
        <v>3.3720702950685491</v>
      </c>
      <c r="H61" s="224"/>
    </row>
    <row r="62" spans="1:11" s="39" customFormat="1" ht="13.8">
      <c r="B62" s="222"/>
      <c r="C62" s="253"/>
      <c r="D62" s="223"/>
      <c r="E62" s="75"/>
      <c r="F62" s="224"/>
      <c r="G62" s="222"/>
      <c r="H62" s="224"/>
    </row>
    <row r="63" spans="1:11" s="39" customFormat="1" ht="13.8">
      <c r="A63" s="39" t="s">
        <v>273</v>
      </c>
      <c r="B63" s="222">
        <v>25.973219769639002</v>
      </c>
      <c r="C63" s="253"/>
      <c r="D63" s="223"/>
      <c r="E63" s="75">
        <f ca="1">+'Regulated DF Calc'!N103</f>
        <v>0.27152178173040442</v>
      </c>
      <c r="F63" s="224"/>
      <c r="G63" s="222">
        <f ca="1">+B63+E63</f>
        <v>26.244741551369405</v>
      </c>
      <c r="H63" s="224"/>
    </row>
    <row r="64" spans="1:11" s="39" customFormat="1" ht="13.8">
      <c r="A64" s="39" t="s">
        <v>274</v>
      </c>
      <c r="B64" s="222">
        <v>20.803219769639</v>
      </c>
      <c r="C64" s="253"/>
      <c r="D64" s="223"/>
      <c r="E64" s="75">
        <f ca="1">+'Regulated DF Calc'!N104</f>
        <v>0.27152178173040442</v>
      </c>
      <c r="F64" s="224"/>
      <c r="G64" s="222">
        <f ca="1">+B64+E64</f>
        <v>21.074741551369403</v>
      </c>
      <c r="H64" s="224"/>
    </row>
    <row r="65" spans="1:16" ht="13.8">
      <c r="A65" s="67" t="s">
        <v>263</v>
      </c>
      <c r="C65" s="257"/>
      <c r="G65" s="65"/>
      <c r="I65" s="39"/>
      <c r="J65" s="39"/>
      <c r="K65" s="39"/>
    </row>
    <row r="66" spans="1:16" s="39" customFormat="1" ht="13.8">
      <c r="A66" s="52" t="s">
        <v>259</v>
      </c>
      <c r="B66" s="55"/>
      <c r="C66" s="255"/>
      <c r="D66" s="62"/>
      <c r="E66" s="60"/>
      <c r="F66" s="63"/>
      <c r="G66" s="55"/>
      <c r="H66" s="63"/>
    </row>
    <row r="67" spans="1:16" s="39" customFormat="1" ht="13.8">
      <c r="A67" s="40" t="s">
        <v>260</v>
      </c>
      <c r="B67" s="38"/>
      <c r="C67" s="254"/>
      <c r="E67" s="44"/>
      <c r="F67" s="41"/>
      <c r="G67" s="38"/>
      <c r="H67" s="41"/>
    </row>
    <row r="68" spans="1:16" s="39" customFormat="1" ht="13.8">
      <c r="A68" s="39" t="s">
        <v>309</v>
      </c>
      <c r="B68" s="222">
        <v>94.46</v>
      </c>
      <c r="C68" s="253"/>
      <c r="D68" s="223"/>
      <c r="E68" s="75">
        <f ca="1">+References!E69</f>
        <v>4.9699999999999989</v>
      </c>
      <c r="F68" s="224"/>
      <c r="G68" s="222">
        <f t="shared" ref="G68:G69" ca="1" si="5">+B68+E68</f>
        <v>99.429999999999993</v>
      </c>
      <c r="H68" s="224"/>
    </row>
    <row r="69" spans="1:16" s="39" customFormat="1" ht="13.8">
      <c r="A69" s="39" t="s">
        <v>261</v>
      </c>
      <c r="B69" s="222">
        <v>106.34</v>
      </c>
      <c r="C69" s="253"/>
      <c r="D69" s="223"/>
      <c r="E69" s="75">
        <f ca="1">+References!C69</f>
        <v>5.5999999999999943</v>
      </c>
      <c r="F69" s="224"/>
      <c r="G69" s="222">
        <f t="shared" ca="1" si="5"/>
        <v>111.94</v>
      </c>
      <c r="H69" s="224"/>
    </row>
    <row r="70" spans="1:16" s="39" customFormat="1" ht="13.8">
      <c r="A70" s="39" t="s">
        <v>433</v>
      </c>
      <c r="B70" s="222">
        <v>80</v>
      </c>
      <c r="C70" s="253"/>
      <c r="D70" s="223"/>
      <c r="E70" s="75"/>
      <c r="F70" s="224"/>
      <c r="G70" s="222">
        <v>80</v>
      </c>
      <c r="H70" s="224"/>
    </row>
    <row r="71" spans="1:16" s="39" customFormat="1" ht="13.8">
      <c r="B71" s="38"/>
      <c r="C71" s="254"/>
      <c r="E71" s="44"/>
      <c r="F71" s="41"/>
      <c r="G71" s="38"/>
      <c r="H71" s="41"/>
    </row>
    <row r="72" spans="1:16" s="39" customFormat="1" ht="13.8">
      <c r="A72" s="52" t="s">
        <v>440</v>
      </c>
      <c r="B72" s="55"/>
      <c r="C72" s="255"/>
      <c r="D72" s="62"/>
      <c r="E72" s="60"/>
      <c r="F72" s="63"/>
      <c r="G72" s="55"/>
      <c r="H72" s="63"/>
    </row>
    <row r="73" spans="1:16" s="38" customFormat="1" ht="13.8">
      <c r="A73" s="40" t="s">
        <v>334</v>
      </c>
      <c r="C73" s="254"/>
      <c r="D73" s="39"/>
      <c r="E73" s="44"/>
      <c r="F73" s="41"/>
      <c r="H73" s="41"/>
      <c r="I73" s="39"/>
      <c r="J73" s="39"/>
      <c r="K73" s="39"/>
      <c r="L73" s="39"/>
      <c r="M73" s="39"/>
      <c r="N73" s="39"/>
      <c r="O73" s="39"/>
      <c r="P73" s="39"/>
    </row>
    <row r="74" spans="1:16" s="38" customFormat="1" ht="13.8">
      <c r="A74" s="40" t="s">
        <v>1</v>
      </c>
      <c r="C74" s="254"/>
      <c r="D74" s="39"/>
      <c r="E74" s="44"/>
      <c r="F74" s="41"/>
      <c r="H74" s="41"/>
      <c r="I74" s="39"/>
      <c r="J74" s="39"/>
      <c r="K74" s="39"/>
      <c r="L74" s="39"/>
      <c r="M74" s="39"/>
      <c r="N74" s="39"/>
      <c r="O74" s="39"/>
      <c r="P74" s="39"/>
    </row>
    <row r="75" spans="1:16" s="38" customFormat="1" ht="13.8">
      <c r="A75" s="39" t="s">
        <v>257</v>
      </c>
      <c r="B75" s="222">
        <v>20.418507677494606</v>
      </c>
      <c r="C75" s="253"/>
      <c r="D75" s="223"/>
      <c r="E75" s="75">
        <f ca="1">+'Regulated DF Calc'!N37</f>
        <v>0.38013049442256613</v>
      </c>
      <c r="F75" s="224"/>
      <c r="G75" s="222">
        <f t="shared" ref="G75:G82" ca="1" si="6">+B75+E75</f>
        <v>20.798638171917172</v>
      </c>
      <c r="H75" s="224"/>
      <c r="I75" s="39"/>
      <c r="J75" s="39"/>
      <c r="K75" s="39"/>
      <c r="L75" s="39"/>
      <c r="M75" s="39"/>
      <c r="N75" s="39"/>
      <c r="O75" s="39"/>
      <c r="P75" s="39"/>
    </row>
    <row r="76" spans="1:16" s="38" customFormat="1" ht="13.8">
      <c r="A76" s="39" t="s">
        <v>324</v>
      </c>
      <c r="B76" s="222">
        <v>27.576439539278006</v>
      </c>
      <c r="C76" s="253"/>
      <c r="D76" s="223"/>
      <c r="E76" s="75">
        <f ca="1">+'Regulated DF Calc'!N40</f>
        <v>0.54304356346080884</v>
      </c>
      <c r="F76" s="224"/>
      <c r="G76" s="222">
        <f t="shared" ca="1" si="6"/>
        <v>28.119483102738815</v>
      </c>
      <c r="H76" s="224"/>
      <c r="I76" s="39"/>
      <c r="J76" s="39"/>
      <c r="K76" s="39"/>
      <c r="L76" s="39"/>
      <c r="M76" s="39"/>
      <c r="N76" s="39"/>
      <c r="O76" s="39"/>
      <c r="P76" s="39"/>
    </row>
    <row r="77" spans="1:16" s="38" customFormat="1" ht="13.8">
      <c r="A77" s="39" t="s">
        <v>262</v>
      </c>
      <c r="B77" s="222">
        <v>33.001865642904292</v>
      </c>
      <c r="C77" s="253"/>
      <c r="D77" s="223"/>
      <c r="E77" s="75">
        <f ca="1">+'Regulated DF Calc'!N43</f>
        <v>0.70378445824520819</v>
      </c>
      <c r="F77" s="224"/>
      <c r="G77" s="222">
        <f t="shared" ca="1" si="6"/>
        <v>33.705650101149502</v>
      </c>
      <c r="H77" s="224"/>
      <c r="I77" s="39"/>
      <c r="J77" s="39"/>
      <c r="K77" s="39"/>
      <c r="L77" s="39"/>
      <c r="M77" s="39"/>
      <c r="N77" s="39"/>
      <c r="O77" s="39"/>
      <c r="P77" s="39"/>
    </row>
    <row r="78" spans="1:16" s="38" customFormat="1" ht="13.8">
      <c r="A78" s="39" t="s">
        <v>325</v>
      </c>
      <c r="B78" s="222">
        <v>46.155223608313989</v>
      </c>
      <c r="C78" s="253"/>
      <c r="D78" s="223"/>
      <c r="E78" s="75">
        <f ca="1">+'Regulated DF Calc'!N49</f>
        <v>1.0274384220678503</v>
      </c>
      <c r="F78" s="224"/>
      <c r="G78" s="222">
        <f t="shared" ca="1" si="6"/>
        <v>47.182662030381842</v>
      </c>
      <c r="H78" s="224"/>
      <c r="I78" s="39"/>
      <c r="J78" s="39"/>
      <c r="K78" s="39"/>
      <c r="L78" s="39"/>
      <c r="M78" s="39"/>
      <c r="N78" s="39"/>
      <c r="O78" s="39"/>
      <c r="P78" s="39"/>
    </row>
    <row r="79" spans="1:16" s="38" customFormat="1" ht="13.8">
      <c r="A79" s="39" t="s">
        <v>326</v>
      </c>
      <c r="B79" s="222">
        <v>59.736029750309676</v>
      </c>
      <c r="C79" s="253"/>
      <c r="D79" s="223"/>
      <c r="E79" s="75">
        <f ca="1">+'Regulated DF Calc'!N57</f>
        <v>1.3315428176059032</v>
      </c>
      <c r="F79" s="224"/>
      <c r="G79" s="222">
        <f t="shared" ca="1" si="6"/>
        <v>61.067572567915576</v>
      </c>
      <c r="H79" s="224"/>
      <c r="I79" s="39"/>
      <c r="J79" s="39"/>
      <c r="K79" s="39"/>
      <c r="L79" s="39"/>
      <c r="M79" s="39"/>
      <c r="N79" s="39"/>
      <c r="O79" s="39"/>
      <c r="P79" s="39"/>
    </row>
    <row r="80" spans="1:16" s="38" customFormat="1" ht="13.8">
      <c r="A80" s="39" t="s">
        <v>258</v>
      </c>
      <c r="B80" s="222">
        <v>73.164191938377556</v>
      </c>
      <c r="C80" s="253"/>
      <c r="D80" s="223"/>
      <c r="E80" s="75">
        <f ca="1">+'Regulated DF Calc'!N64</f>
        <v>1.5813428567978753</v>
      </c>
      <c r="F80" s="224"/>
      <c r="G80" s="222">
        <f t="shared" ca="1" si="6"/>
        <v>74.745534795175431</v>
      </c>
      <c r="H80" s="224"/>
      <c r="I80" s="39"/>
      <c r="J80" s="39"/>
      <c r="K80" s="39"/>
      <c r="L80" s="39"/>
      <c r="M80" s="39"/>
      <c r="N80" s="39"/>
      <c r="O80" s="39"/>
      <c r="P80" s="39"/>
    </row>
    <row r="81" spans="1:16" s="38" customFormat="1" ht="13.8">
      <c r="A81" s="39" t="s">
        <v>327</v>
      </c>
      <c r="B81" s="222">
        <v>86.484836851974094</v>
      </c>
      <c r="C81" s="253"/>
      <c r="D81" s="223"/>
      <c r="E81" s="75">
        <f ca="1">+'Regulated DF Calc'!N66</f>
        <v>1.8246263732283174</v>
      </c>
      <c r="F81" s="224"/>
      <c r="G81" s="222">
        <f t="shared" ca="1" si="6"/>
        <v>88.309463225202407</v>
      </c>
      <c r="H81" s="224"/>
      <c r="I81" s="39"/>
      <c r="J81" s="39"/>
      <c r="K81" s="39"/>
      <c r="L81" s="39"/>
      <c r="M81" s="39"/>
      <c r="N81" s="39"/>
      <c r="O81" s="39"/>
      <c r="P81" s="39"/>
    </row>
    <row r="82" spans="1:16" s="38" customFormat="1" ht="13.8">
      <c r="A82" s="39" t="s">
        <v>328</v>
      </c>
      <c r="B82" s="222">
        <v>112.33564299396978</v>
      </c>
      <c r="C82" s="253"/>
      <c r="D82" s="223"/>
      <c r="E82" s="75">
        <f ca="1">+'Regulated DF Calc'!N76</f>
        <v>2.1287307687663706</v>
      </c>
      <c r="F82" s="224"/>
      <c r="G82" s="222">
        <f t="shared" ca="1" si="6"/>
        <v>114.46437376273616</v>
      </c>
      <c r="H82" s="224"/>
      <c r="I82" s="39"/>
      <c r="J82" s="39"/>
      <c r="K82" s="39"/>
      <c r="L82" s="39"/>
      <c r="M82" s="39"/>
      <c r="N82" s="39"/>
      <c r="O82" s="39"/>
      <c r="P82" s="39"/>
    </row>
    <row r="83" spans="1:16" s="38" customFormat="1" ht="13.8">
      <c r="A83" s="56"/>
      <c r="C83" s="254"/>
      <c r="D83" s="39"/>
      <c r="E83" s="44"/>
      <c r="F83" s="41"/>
      <c r="H83" s="41"/>
      <c r="I83" s="39"/>
      <c r="J83" s="39"/>
      <c r="K83" s="39"/>
      <c r="L83" s="39"/>
      <c r="M83" s="39"/>
      <c r="N83" s="39"/>
      <c r="O83" s="39"/>
      <c r="P83" s="39"/>
    </row>
    <row r="84" spans="1:16" s="38" customFormat="1" ht="13.8">
      <c r="A84" s="40" t="s">
        <v>264</v>
      </c>
      <c r="C84" s="254"/>
      <c r="D84" s="39"/>
      <c r="E84" s="44"/>
      <c r="F84" s="41"/>
      <c r="H84" s="41"/>
      <c r="I84" s="39"/>
      <c r="J84" s="39"/>
      <c r="K84" s="39"/>
      <c r="L84" s="39"/>
      <c r="M84" s="39"/>
      <c r="N84" s="39"/>
      <c r="O84" s="39"/>
      <c r="P84" s="39"/>
    </row>
    <row r="85" spans="1:16" s="38" customFormat="1" ht="13.8">
      <c r="A85" s="39" t="s">
        <v>257</v>
      </c>
      <c r="B85" s="222">
        <v>21.538507677494607</v>
      </c>
      <c r="C85" s="253"/>
      <c r="D85" s="223"/>
      <c r="E85" s="75">
        <f ca="1">+'Regulated DF Calc'!N79</f>
        <v>0.38013049442256613</v>
      </c>
      <c r="F85" s="224"/>
      <c r="G85" s="222">
        <f t="shared" ref="G85:G92" ca="1" si="7">+B85+E85</f>
        <v>21.918638171917173</v>
      </c>
      <c r="H85" s="224"/>
      <c r="I85" s="39"/>
      <c r="J85" s="39"/>
      <c r="K85" s="39"/>
      <c r="L85" s="39"/>
      <c r="M85" s="39"/>
      <c r="N85" s="39"/>
      <c r="O85" s="39"/>
      <c r="P85" s="39"/>
    </row>
    <row r="86" spans="1:16" s="38" customFormat="1" ht="13.8">
      <c r="A86" s="39" t="s">
        <v>324</v>
      </c>
      <c r="B86" s="222">
        <v>28.716439539278007</v>
      </c>
      <c r="C86" s="253"/>
      <c r="D86" s="223"/>
      <c r="E86" s="75">
        <f ca="1">+'Regulated DF Calc'!N80</f>
        <v>0.54304356346080884</v>
      </c>
      <c r="F86" s="224"/>
      <c r="G86" s="222">
        <f t="shared" ca="1" si="7"/>
        <v>29.259483102738816</v>
      </c>
      <c r="H86" s="224"/>
      <c r="I86" s="39"/>
      <c r="J86" s="39"/>
      <c r="K86" s="39"/>
      <c r="L86" s="39"/>
      <c r="M86" s="39"/>
      <c r="N86" s="39"/>
      <c r="O86" s="39"/>
      <c r="P86" s="39"/>
    </row>
    <row r="87" spans="1:16" s="38" customFormat="1" ht="13.8">
      <c r="A87" s="39" t="s">
        <v>262</v>
      </c>
      <c r="B87" s="222">
        <v>34.131865642904295</v>
      </c>
      <c r="C87" s="253"/>
      <c r="D87" s="223"/>
      <c r="E87" s="75">
        <f ca="1">+'Regulated DF Calc'!N81</f>
        <v>0.70378445824520808</v>
      </c>
      <c r="F87" s="224"/>
      <c r="G87" s="222">
        <f t="shared" ca="1" si="7"/>
        <v>34.835650101149504</v>
      </c>
      <c r="H87" s="224"/>
      <c r="I87" s="39"/>
      <c r="J87" s="39"/>
      <c r="K87" s="39"/>
      <c r="L87" s="39"/>
      <c r="M87" s="39"/>
      <c r="N87" s="39"/>
      <c r="O87" s="39"/>
      <c r="P87" s="39"/>
    </row>
    <row r="88" spans="1:16" s="38" customFormat="1" ht="13.8">
      <c r="A88" s="39" t="s">
        <v>325</v>
      </c>
      <c r="B88" s="222">
        <v>47.275223608313993</v>
      </c>
      <c r="C88" s="253"/>
      <c r="D88" s="223"/>
      <c r="E88" s="75">
        <f ca="1">+'Regulated DF Calc'!N82</f>
        <v>1.0274384220678501</v>
      </c>
      <c r="F88" s="224"/>
      <c r="G88" s="222">
        <f t="shared" ca="1" si="7"/>
        <v>48.302662030381846</v>
      </c>
      <c r="H88" s="224"/>
      <c r="I88" s="39"/>
      <c r="J88" s="39"/>
      <c r="K88" s="39"/>
      <c r="L88" s="39"/>
      <c r="M88" s="39"/>
      <c r="N88" s="39"/>
      <c r="O88" s="39"/>
      <c r="P88" s="39"/>
    </row>
    <row r="89" spans="1:16" s="38" customFormat="1" ht="13.8">
      <c r="A89" s="39" t="s">
        <v>326</v>
      </c>
      <c r="B89" s="222">
        <v>60.856029750309673</v>
      </c>
      <c r="C89" s="253"/>
      <c r="D89" s="223"/>
      <c r="E89" s="75">
        <f ca="1">+'Regulated DF Calc'!N84</f>
        <v>1.331542817605903</v>
      </c>
      <c r="F89" s="224"/>
      <c r="G89" s="222">
        <f t="shared" ca="1" si="7"/>
        <v>62.187572567915574</v>
      </c>
      <c r="H89" s="224"/>
      <c r="I89" s="39"/>
      <c r="J89" s="39"/>
      <c r="K89" s="39"/>
      <c r="L89" s="39"/>
      <c r="M89" s="39"/>
      <c r="N89" s="39"/>
      <c r="O89" s="39"/>
      <c r="P89" s="39"/>
    </row>
    <row r="90" spans="1:16" s="38" customFormat="1" ht="13.8">
      <c r="A90" s="39" t="s">
        <v>258</v>
      </c>
      <c r="B90" s="222">
        <v>74.284191938377546</v>
      </c>
      <c r="C90" s="253"/>
      <c r="D90" s="223"/>
      <c r="E90" s="75">
        <f ca="1">E80</f>
        <v>1.5813428567978753</v>
      </c>
      <c r="F90" s="224"/>
      <c r="G90" s="222">
        <f t="shared" ca="1" si="7"/>
        <v>75.865534795175421</v>
      </c>
      <c r="H90" s="224"/>
      <c r="I90" s="39"/>
      <c r="J90" s="39"/>
      <c r="K90" s="39"/>
      <c r="L90" s="39"/>
      <c r="M90" s="39"/>
      <c r="N90" s="39"/>
      <c r="O90" s="39"/>
      <c r="P90" s="39"/>
    </row>
    <row r="91" spans="1:16" s="38" customFormat="1" ht="13.8">
      <c r="A91" s="39" t="s">
        <v>327</v>
      </c>
      <c r="B91" s="222">
        <v>87.614836851974104</v>
      </c>
      <c r="C91" s="253"/>
      <c r="D91" s="223"/>
      <c r="E91" s="75">
        <f ca="1">+'Regulated DF Calc'!N85</f>
        <v>1.8246263732283177</v>
      </c>
      <c r="F91" s="224"/>
      <c r="G91" s="222">
        <f t="shared" ca="1" si="7"/>
        <v>89.439463225202417</v>
      </c>
      <c r="H91" s="224"/>
      <c r="I91" s="39"/>
      <c r="J91" s="39"/>
      <c r="K91" s="39"/>
      <c r="L91" s="39"/>
      <c r="M91" s="39"/>
      <c r="N91" s="39"/>
      <c r="O91" s="39"/>
      <c r="P91" s="39"/>
    </row>
    <row r="92" spans="1:16" s="38" customFormat="1" ht="13.8">
      <c r="A92" s="39" t="s">
        <v>328</v>
      </c>
      <c r="B92" s="222">
        <v>113.47564299396979</v>
      </c>
      <c r="C92" s="253"/>
      <c r="D92" s="223"/>
      <c r="E92" s="75">
        <f ca="1">+'Regulated DF Calc'!N86</f>
        <v>2.1287307687663701</v>
      </c>
      <c r="F92" s="224"/>
      <c r="G92" s="222">
        <f t="shared" ca="1" si="7"/>
        <v>115.60437376273616</v>
      </c>
      <c r="H92" s="224"/>
      <c r="I92" s="39"/>
      <c r="J92" s="39"/>
      <c r="K92" s="39"/>
      <c r="L92" s="39"/>
      <c r="M92" s="39"/>
      <c r="N92" s="39"/>
      <c r="O92" s="39"/>
      <c r="P92" s="39"/>
    </row>
    <row r="93" spans="1:16" s="38" customFormat="1" ht="13.8">
      <c r="A93" s="56"/>
      <c r="B93" s="222"/>
      <c r="C93" s="253"/>
      <c r="D93" s="223"/>
      <c r="E93" s="75"/>
      <c r="F93" s="224"/>
      <c r="G93" s="222"/>
      <c r="H93" s="224"/>
      <c r="I93" s="39"/>
      <c r="J93" s="39"/>
      <c r="K93" s="39"/>
      <c r="L93" s="39"/>
      <c r="M93" s="39"/>
      <c r="N93" s="39"/>
      <c r="O93" s="39"/>
      <c r="P93" s="39"/>
    </row>
    <row r="94" spans="1:16" s="38" customFormat="1" ht="13.8">
      <c r="A94" s="40" t="s">
        <v>265</v>
      </c>
      <c r="B94" s="222"/>
      <c r="C94" s="253"/>
      <c r="D94" s="223"/>
      <c r="E94" s="75"/>
      <c r="F94" s="224"/>
      <c r="G94" s="222"/>
      <c r="H94" s="224"/>
      <c r="I94" s="39"/>
      <c r="J94" s="39"/>
      <c r="K94" s="39"/>
      <c r="L94" s="39"/>
      <c r="M94" s="39"/>
      <c r="N94" s="39"/>
      <c r="O94" s="39"/>
      <c r="P94" s="39"/>
    </row>
    <row r="95" spans="1:16" s="38" customFormat="1" ht="13.8">
      <c r="A95" s="40" t="s">
        <v>1</v>
      </c>
      <c r="B95" s="222"/>
      <c r="C95" s="253"/>
      <c r="D95" s="223"/>
      <c r="E95" s="75"/>
      <c r="F95" s="224"/>
      <c r="G95" s="222"/>
      <c r="H95" s="224"/>
      <c r="I95" s="39"/>
      <c r="J95" s="39"/>
      <c r="K95" s="39"/>
      <c r="L95" s="39"/>
      <c r="M95" s="39"/>
      <c r="N95" s="39"/>
      <c r="O95" s="39"/>
      <c r="P95" s="39"/>
    </row>
    <row r="96" spans="1:16" s="38" customFormat="1" ht="13.8">
      <c r="A96" s="39" t="s">
        <v>257</v>
      </c>
      <c r="B96" s="222">
        <v>20.418507677494606</v>
      </c>
      <c r="C96" s="253"/>
      <c r="D96" s="223"/>
      <c r="E96" s="75">
        <f ca="1">+'Regulated DF Calc'!N87</f>
        <v>0.38013049442256613</v>
      </c>
      <c r="F96" s="224"/>
      <c r="G96" s="222">
        <f t="shared" ref="G96:G103" ca="1" si="8">+B96+E96</f>
        <v>20.798638171917172</v>
      </c>
      <c r="H96" s="224"/>
      <c r="I96" s="39"/>
      <c r="J96" s="39"/>
      <c r="K96" s="39"/>
      <c r="L96" s="39"/>
      <c r="M96" s="39"/>
      <c r="N96" s="39"/>
      <c r="O96" s="39"/>
      <c r="P96" s="39"/>
    </row>
    <row r="97" spans="1:16" s="38" customFormat="1" ht="13.8">
      <c r="A97" s="39" t="s">
        <v>324</v>
      </c>
      <c r="B97" s="222">
        <v>27.576439539278006</v>
      </c>
      <c r="C97" s="253"/>
      <c r="D97" s="223"/>
      <c r="E97" s="75">
        <f ca="1">+'Regulated DF Calc'!N88</f>
        <v>0.54304356346080884</v>
      </c>
      <c r="F97" s="224"/>
      <c r="G97" s="222">
        <f t="shared" ca="1" si="8"/>
        <v>28.119483102738815</v>
      </c>
      <c r="H97" s="224"/>
      <c r="I97" s="39"/>
      <c r="J97" s="39"/>
      <c r="K97" s="39"/>
      <c r="L97" s="39"/>
      <c r="M97" s="39"/>
      <c r="N97" s="39"/>
      <c r="O97" s="39"/>
      <c r="P97" s="39"/>
    </row>
    <row r="98" spans="1:16" s="38" customFormat="1" ht="13.8">
      <c r="A98" s="39" t="s">
        <v>262</v>
      </c>
      <c r="B98" s="222">
        <v>33.001865642904292</v>
      </c>
      <c r="C98" s="253"/>
      <c r="D98" s="223"/>
      <c r="E98" s="75">
        <f ca="1">+'Regulated DF Calc'!N89</f>
        <v>0.70378445824520819</v>
      </c>
      <c r="F98" s="224"/>
      <c r="G98" s="222">
        <f t="shared" ca="1" si="8"/>
        <v>33.705650101149502</v>
      </c>
      <c r="H98" s="224"/>
      <c r="I98" s="39"/>
      <c r="J98" s="39"/>
      <c r="K98" s="39"/>
      <c r="L98" s="39"/>
      <c r="M98" s="39"/>
      <c r="N98" s="39"/>
      <c r="O98" s="39"/>
      <c r="P98" s="39"/>
    </row>
    <row r="99" spans="1:16" s="38" customFormat="1" ht="13.8">
      <c r="A99" s="39" t="s">
        <v>325</v>
      </c>
      <c r="B99" s="222">
        <v>46.155223608313989</v>
      </c>
      <c r="C99" s="253"/>
      <c r="D99" s="223"/>
      <c r="E99" s="75">
        <f ca="1">+'Regulated DF Calc'!N90</f>
        <v>1.0274384220678501</v>
      </c>
      <c r="F99" s="224"/>
      <c r="G99" s="222">
        <f t="shared" ca="1" si="8"/>
        <v>47.182662030381842</v>
      </c>
      <c r="H99" s="224"/>
      <c r="I99" s="39"/>
      <c r="J99" s="39"/>
      <c r="K99" s="39"/>
      <c r="L99" s="39"/>
      <c r="M99" s="39"/>
      <c r="N99" s="39"/>
      <c r="O99" s="39"/>
      <c r="P99" s="39"/>
    </row>
    <row r="100" spans="1:16" s="38" customFormat="1" ht="13.8">
      <c r="A100" s="39" t="s">
        <v>326</v>
      </c>
      <c r="B100" s="222">
        <v>59.736029750309676</v>
      </c>
      <c r="C100" s="253"/>
      <c r="D100" s="223"/>
      <c r="E100" s="75">
        <f ca="1">+'Regulated DF Calc'!N91</f>
        <v>1.3315428176059032</v>
      </c>
      <c r="F100" s="224"/>
      <c r="G100" s="222">
        <f t="shared" ca="1" si="8"/>
        <v>61.067572567915576</v>
      </c>
      <c r="H100" s="224"/>
      <c r="I100" s="39"/>
      <c r="J100" s="39"/>
      <c r="K100" s="39"/>
      <c r="L100" s="39"/>
      <c r="M100" s="39"/>
      <c r="N100" s="39"/>
      <c r="O100" s="39"/>
      <c r="P100" s="39"/>
    </row>
    <row r="101" spans="1:16" s="38" customFormat="1" ht="13.8">
      <c r="A101" s="39" t="s">
        <v>258</v>
      </c>
      <c r="B101" s="222">
        <v>73.164191938377556</v>
      </c>
      <c r="C101" s="253"/>
      <c r="D101" s="223"/>
      <c r="E101" s="75">
        <f ca="1">E90</f>
        <v>1.5813428567978753</v>
      </c>
      <c r="F101" s="224"/>
      <c r="G101" s="222">
        <f t="shared" ca="1" si="8"/>
        <v>74.745534795175431</v>
      </c>
      <c r="H101" s="224"/>
      <c r="I101" s="39"/>
      <c r="J101" s="39"/>
      <c r="K101" s="39"/>
      <c r="L101" s="39"/>
      <c r="M101" s="39"/>
      <c r="N101" s="39"/>
      <c r="O101" s="39"/>
      <c r="P101" s="39"/>
    </row>
    <row r="102" spans="1:16" s="38" customFormat="1" ht="13.8">
      <c r="A102" s="39" t="s">
        <v>327</v>
      </c>
      <c r="B102" s="222">
        <v>86.484836851974094</v>
      </c>
      <c r="C102" s="253"/>
      <c r="D102" s="223"/>
      <c r="E102" s="75">
        <f ca="1">E91</f>
        <v>1.8246263732283177</v>
      </c>
      <c r="F102" s="224"/>
      <c r="G102" s="222">
        <f t="shared" ca="1" si="8"/>
        <v>88.309463225202407</v>
      </c>
      <c r="H102" s="224"/>
      <c r="I102" s="39"/>
      <c r="J102" s="39"/>
      <c r="K102" s="39"/>
      <c r="L102" s="39"/>
      <c r="M102" s="39"/>
      <c r="N102" s="39"/>
      <c r="O102" s="39"/>
      <c r="P102" s="39"/>
    </row>
    <row r="103" spans="1:16" s="39" customFormat="1" ht="13.8">
      <c r="A103" s="39" t="s">
        <v>328</v>
      </c>
      <c r="B103" s="222">
        <v>112.33564299396978</v>
      </c>
      <c r="C103" s="253"/>
      <c r="D103" s="223"/>
      <c r="E103" s="75">
        <f ca="1">E92</f>
        <v>2.1287307687663701</v>
      </c>
      <c r="F103" s="224"/>
      <c r="G103" s="222">
        <f t="shared" ca="1" si="8"/>
        <v>114.46437376273616</v>
      </c>
      <c r="H103" s="224"/>
    </row>
    <row r="104" spans="1:16" s="39" customFormat="1" ht="13.8">
      <c r="B104" s="38"/>
      <c r="C104" s="254"/>
      <c r="E104" s="44"/>
      <c r="F104" s="41"/>
      <c r="G104" s="38"/>
      <c r="H104" s="41"/>
    </row>
    <row r="105" spans="1:16" s="39" customFormat="1" ht="13.8">
      <c r="A105" s="52" t="s">
        <v>441</v>
      </c>
      <c r="B105" s="55"/>
      <c r="C105" s="255"/>
      <c r="D105" s="62"/>
      <c r="E105" s="60"/>
      <c r="F105" s="63"/>
      <c r="G105" s="55"/>
      <c r="H105" s="63"/>
    </row>
    <row r="106" spans="1:16" s="39" customFormat="1" ht="13.8">
      <c r="A106" s="40" t="s">
        <v>349</v>
      </c>
      <c r="B106" s="38"/>
      <c r="C106" s="254"/>
      <c r="E106" s="44"/>
      <c r="F106" s="41"/>
      <c r="G106" s="38"/>
      <c r="H106" s="41"/>
    </row>
    <row r="107" spans="1:16" s="39" customFormat="1" ht="13.8">
      <c r="A107" s="39" t="s">
        <v>453</v>
      </c>
      <c r="B107" s="38">
        <f>127.73-0.38</f>
        <v>127.35000000000001</v>
      </c>
      <c r="C107" s="254"/>
      <c r="E107" s="44">
        <f ca="1">+'Regulated DF Calc'!N125</f>
        <v>0.38013049442256613</v>
      </c>
      <c r="F107" s="41"/>
      <c r="G107" s="222">
        <f ca="1">+B107+E107</f>
        <v>127.73013049442257</v>
      </c>
      <c r="H107" s="41"/>
      <c r="I107" s="39" t="s">
        <v>454</v>
      </c>
    </row>
    <row r="108" spans="1:16" s="39" customFormat="1" ht="13.8">
      <c r="A108" s="39" t="s">
        <v>350</v>
      </c>
      <c r="B108" s="284">
        <v>130.39643953927802</v>
      </c>
      <c r="C108" s="285"/>
      <c r="D108" s="286"/>
      <c r="E108" s="287">
        <f ca="1">+'Regulated DF Calc'!$N$40</f>
        <v>0.54304356346080884</v>
      </c>
      <c r="F108" s="288"/>
      <c r="G108" s="284">
        <f t="shared" ref="G108:G114" ca="1" si="9">+B108+E108</f>
        <v>130.93948310273882</v>
      </c>
      <c r="H108" s="224"/>
    </row>
    <row r="109" spans="1:16" s="39" customFormat="1" ht="13.8">
      <c r="A109" s="39" t="s">
        <v>351</v>
      </c>
      <c r="B109" s="222">
        <v>134.1318656429043</v>
      </c>
      <c r="C109" s="253"/>
      <c r="D109" s="223"/>
      <c r="E109" s="75">
        <f ca="1">+'Regulated DF Calc'!$N$43</f>
        <v>0.70378445824520819</v>
      </c>
      <c r="F109" s="224"/>
      <c r="G109" s="222">
        <f t="shared" ca="1" si="9"/>
        <v>134.8356501011495</v>
      </c>
      <c r="H109" s="224"/>
    </row>
    <row r="110" spans="1:16" s="39" customFormat="1" ht="13.8">
      <c r="A110" s="39" t="s">
        <v>352</v>
      </c>
      <c r="B110" s="222">
        <v>141.62522360831397</v>
      </c>
      <c r="C110" s="253"/>
      <c r="D110" s="223"/>
      <c r="E110" s="75">
        <f ca="1">+'Regulated DF Calc'!$N$49</f>
        <v>1.0274384220678503</v>
      </c>
      <c r="F110" s="224"/>
      <c r="G110" s="222">
        <f t="shared" ca="1" si="9"/>
        <v>142.65266203038183</v>
      </c>
      <c r="H110" s="224"/>
    </row>
    <row r="111" spans="1:16" s="39" customFormat="1" ht="13.8">
      <c r="A111" s="39" t="s">
        <v>353</v>
      </c>
      <c r="B111" s="284">
        <v>148.67602975030965</v>
      </c>
      <c r="C111" s="285"/>
      <c r="D111" s="286"/>
      <c r="E111" s="287">
        <f ca="1">+'Regulated DF Calc'!$N$57</f>
        <v>1.3315428176059032</v>
      </c>
      <c r="F111" s="288"/>
      <c r="G111" s="284">
        <f t="shared" ca="1" si="9"/>
        <v>150.00757256791556</v>
      </c>
      <c r="H111" s="224"/>
    </row>
    <row r="112" spans="1:16" s="39" customFormat="1" ht="13.8">
      <c r="A112" s="39" t="s">
        <v>354</v>
      </c>
      <c r="B112" s="284">
        <v>154.44419193837757</v>
      </c>
      <c r="C112" s="285"/>
      <c r="D112" s="286"/>
      <c r="E112" s="287">
        <f ca="1">+'Regulated DF Calc'!$N$64</f>
        <v>1.5813428567978753</v>
      </c>
      <c r="F112" s="288"/>
      <c r="G112" s="284">
        <f t="shared" ca="1" si="9"/>
        <v>156.02553479517545</v>
      </c>
      <c r="H112" s="224"/>
    </row>
    <row r="113" spans="1:9" s="39" customFormat="1" ht="13.8">
      <c r="A113" s="39" t="s">
        <v>355</v>
      </c>
      <c r="B113" s="284">
        <v>160.0848368519741</v>
      </c>
      <c r="C113" s="285"/>
      <c r="D113" s="286"/>
      <c r="E113" s="287">
        <f ca="1">+'Regulated DF Calc'!$N$66</f>
        <v>1.8246263732283174</v>
      </c>
      <c r="F113" s="288"/>
      <c r="G113" s="284">
        <f t="shared" ca="1" si="9"/>
        <v>161.90946322520242</v>
      </c>
      <c r="H113" s="224"/>
    </row>
    <row r="114" spans="1:9" s="39" customFormat="1" ht="13.8">
      <c r="A114" s="39" t="s">
        <v>356</v>
      </c>
      <c r="B114" s="284">
        <v>167.12564299396976</v>
      </c>
      <c r="C114" s="285"/>
      <c r="D114" s="286"/>
      <c r="E114" s="287">
        <f ca="1">+'Regulated DF Calc'!$N$71</f>
        <v>2.1287307687663701</v>
      </c>
      <c r="F114" s="288"/>
      <c r="G114" s="284">
        <f t="shared" ca="1" si="9"/>
        <v>169.25437376273612</v>
      </c>
      <c r="H114" s="224"/>
    </row>
    <row r="115" spans="1:9" s="39" customFormat="1" ht="13.8">
      <c r="B115" s="222"/>
      <c r="C115" s="253"/>
      <c r="D115" s="223"/>
      <c r="E115" s="75"/>
      <c r="F115" s="224"/>
      <c r="G115" s="222"/>
      <c r="H115" s="224"/>
    </row>
    <row r="116" spans="1:9" s="39" customFormat="1" ht="13.8">
      <c r="A116" s="40" t="s">
        <v>357</v>
      </c>
      <c r="B116" s="222"/>
      <c r="C116" s="253"/>
      <c r="D116" s="223"/>
      <c r="E116" s="75"/>
      <c r="F116" s="224"/>
      <c r="G116" s="222"/>
      <c r="H116" s="224"/>
    </row>
    <row r="117" spans="1:9" s="39" customFormat="1" ht="13.8">
      <c r="A117" s="39" t="s">
        <v>453</v>
      </c>
      <c r="B117" s="222">
        <f>70.15-0.38</f>
        <v>69.77000000000001</v>
      </c>
      <c r="C117" s="253"/>
      <c r="D117" s="223"/>
      <c r="E117" s="75">
        <f ca="1">+E107</f>
        <v>0.38013049442256613</v>
      </c>
      <c r="F117" s="224"/>
      <c r="G117" s="222">
        <f ca="1">+B117+E117</f>
        <v>70.150130494422569</v>
      </c>
      <c r="H117" s="224"/>
      <c r="I117" s="39" t="s">
        <v>454</v>
      </c>
    </row>
    <row r="118" spans="1:9" s="39" customFormat="1" ht="13.8">
      <c r="A118" s="39" t="s">
        <v>350</v>
      </c>
      <c r="B118" s="284">
        <v>75.286439539278007</v>
      </c>
      <c r="C118" s="285"/>
      <c r="D118" s="286"/>
      <c r="E118" s="287">
        <f ca="1">+'Regulated DF Calc'!$N$40</f>
        <v>0.54304356346080884</v>
      </c>
      <c r="F118" s="288"/>
      <c r="G118" s="284">
        <f t="shared" ref="G118:G124" ca="1" si="10">+B118+E118</f>
        <v>75.82948310273882</v>
      </c>
      <c r="H118" s="224"/>
    </row>
    <row r="119" spans="1:9" s="39" customFormat="1" ht="13.8">
      <c r="A119" s="39" t="s">
        <v>351</v>
      </c>
      <c r="B119" s="222">
        <v>79.021865642904288</v>
      </c>
      <c r="C119" s="253"/>
      <c r="D119" s="223"/>
      <c r="E119" s="75">
        <f ca="1">+'Regulated DF Calc'!$N$43</f>
        <v>0.70378445824520819</v>
      </c>
      <c r="F119" s="224"/>
      <c r="G119" s="222">
        <f t="shared" ca="1" si="10"/>
        <v>79.725650101149498</v>
      </c>
      <c r="H119" s="224"/>
    </row>
    <row r="120" spans="1:9" s="39" customFormat="1" ht="13.8">
      <c r="A120" s="39" t="s">
        <v>352</v>
      </c>
      <c r="B120" s="222">
        <v>86.515223608313988</v>
      </c>
      <c r="C120" s="253"/>
      <c r="D120" s="223"/>
      <c r="E120" s="75">
        <f ca="1">+'Regulated DF Calc'!$N$49</f>
        <v>1.0274384220678503</v>
      </c>
      <c r="F120" s="224"/>
      <c r="G120" s="222">
        <f t="shared" ca="1" si="10"/>
        <v>87.542662030381834</v>
      </c>
      <c r="H120" s="224"/>
    </row>
    <row r="121" spans="1:9" s="39" customFormat="1" ht="13.8">
      <c r="A121" s="39" t="s">
        <v>353</v>
      </c>
      <c r="B121" s="284">
        <v>93.556029750309662</v>
      </c>
      <c r="C121" s="285"/>
      <c r="D121" s="286"/>
      <c r="E121" s="287">
        <f ca="1">+'Regulated DF Calc'!$N$57</f>
        <v>1.3315428176059032</v>
      </c>
      <c r="F121" s="288"/>
      <c r="G121" s="284">
        <f t="shared" ca="1" si="10"/>
        <v>94.887572567915569</v>
      </c>
      <c r="H121" s="224"/>
    </row>
    <row r="122" spans="1:9" s="39" customFormat="1" ht="13.8">
      <c r="A122" s="39" t="s">
        <v>354</v>
      </c>
      <c r="B122" s="284">
        <v>99.324191938377552</v>
      </c>
      <c r="C122" s="285"/>
      <c r="D122" s="286"/>
      <c r="E122" s="287">
        <f ca="1">+'Regulated DF Calc'!$N$64</f>
        <v>1.5813428567978753</v>
      </c>
      <c r="F122" s="288"/>
      <c r="G122" s="284">
        <f t="shared" ca="1" si="10"/>
        <v>100.90553479517543</v>
      </c>
      <c r="H122" s="224"/>
    </row>
    <row r="123" spans="1:9" s="39" customFormat="1" ht="13.8">
      <c r="A123" s="39" t="s">
        <v>355</v>
      </c>
      <c r="B123" s="284">
        <v>104.9648368519741</v>
      </c>
      <c r="C123" s="285"/>
      <c r="D123" s="286"/>
      <c r="E123" s="287">
        <f ca="1">+'Regulated DF Calc'!$N$66</f>
        <v>1.8246263732283174</v>
      </c>
      <c r="F123" s="288"/>
      <c r="G123" s="284">
        <f t="shared" ca="1" si="10"/>
        <v>106.78946322520241</v>
      </c>
      <c r="H123" s="224"/>
    </row>
    <row r="124" spans="1:9" s="39" customFormat="1" ht="13.8">
      <c r="A124" s="39" t="s">
        <v>356</v>
      </c>
      <c r="B124" s="284">
        <v>112.01564299396979</v>
      </c>
      <c r="C124" s="285"/>
      <c r="D124" s="286"/>
      <c r="E124" s="287">
        <f ca="1">+'Regulated DF Calc'!$N$71</f>
        <v>2.1287307687663701</v>
      </c>
      <c r="F124" s="288"/>
      <c r="G124" s="284">
        <f t="shared" ca="1" si="10"/>
        <v>114.14437376273617</v>
      </c>
      <c r="H124" s="224"/>
    </row>
    <row r="125" spans="1:9" s="39" customFormat="1" ht="13.8">
      <c r="B125" s="38"/>
      <c r="C125" s="254"/>
      <c r="E125" s="44"/>
      <c r="F125" s="41"/>
      <c r="G125" s="38"/>
      <c r="H125" s="41"/>
    </row>
    <row r="126" spans="1:9" s="39" customFormat="1" ht="13.8">
      <c r="A126" s="52" t="s">
        <v>442</v>
      </c>
      <c r="B126" s="55"/>
      <c r="C126" s="255"/>
      <c r="D126" s="62"/>
      <c r="E126" s="60"/>
      <c r="F126" s="63"/>
      <c r="G126" s="55"/>
      <c r="H126" s="63"/>
    </row>
    <row r="127" spans="1:9" s="39" customFormat="1" ht="13.8">
      <c r="A127" s="39" t="s">
        <v>329</v>
      </c>
      <c r="B127" s="222">
        <v>3.3526669865562484</v>
      </c>
      <c r="C127" s="253"/>
      <c r="E127" s="44">
        <f ca="1">+'Regulated DF Calc'!N93</f>
        <v>6.2993053361453819E-2</v>
      </c>
      <c r="F127" s="41"/>
      <c r="G127" s="222">
        <f ca="1">+B127+E127</f>
        <v>3.4156600399177024</v>
      </c>
      <c r="H127" s="224"/>
    </row>
    <row r="128" spans="1:9" s="39" customFormat="1" ht="13.8">
      <c r="A128" s="39" t="s">
        <v>412</v>
      </c>
      <c r="B128" s="222">
        <v>2.8218378972685896</v>
      </c>
      <c r="C128" s="253"/>
      <c r="E128" s="75">
        <f ca="1">E43</f>
        <v>4.3443485076864706E-2</v>
      </c>
      <c r="F128" s="224"/>
      <c r="G128" s="222">
        <f ca="1">+B128+E128</f>
        <v>2.8652813823454544</v>
      </c>
      <c r="H128" s="224"/>
      <c r="I128" s="225" t="s">
        <v>407</v>
      </c>
    </row>
    <row r="129" spans="1:16" s="39" customFormat="1" ht="13.8">
      <c r="A129" s="39" t="s">
        <v>413</v>
      </c>
      <c r="B129" s="222">
        <v>5.6535026371799892</v>
      </c>
      <c r="C129" s="253"/>
      <c r="E129" s="75">
        <f ca="1">E127</f>
        <v>6.2993053361453819E-2</v>
      </c>
      <c r="F129" s="224"/>
      <c r="G129" s="222">
        <f ca="1">+B129+E129</f>
        <v>5.7164956905414428</v>
      </c>
      <c r="H129" s="224"/>
      <c r="I129" s="225" t="s">
        <v>407</v>
      </c>
    </row>
    <row r="130" spans="1:16" s="39" customFormat="1" ht="13.8">
      <c r="A130" s="39" t="s">
        <v>414</v>
      </c>
      <c r="B130" s="222">
        <v>8.4851673770913898</v>
      </c>
      <c r="C130" s="253"/>
      <c r="E130" s="75">
        <f ca="1">E128</f>
        <v>4.3443485076864706E-2</v>
      </c>
      <c r="F130" s="224"/>
      <c r="G130" s="222">
        <f ca="1">G129+(G129-G128)</f>
        <v>8.5677099987374312</v>
      </c>
      <c r="H130" s="222"/>
      <c r="I130" s="225" t="s">
        <v>407</v>
      </c>
    </row>
    <row r="131" spans="1:16" s="39" customFormat="1" ht="13.8">
      <c r="A131" s="39" t="s">
        <v>415</v>
      </c>
      <c r="B131" s="222">
        <v>10.422622199136033</v>
      </c>
      <c r="C131" s="253"/>
      <c r="E131" s="75">
        <f ca="1">E129</f>
        <v>6.2993053361453819E-2</v>
      </c>
      <c r="F131" s="224"/>
      <c r="G131" s="222">
        <f ca="1">G130+((G130-G129)*(65/95))</f>
        <v>10.518540841187319</v>
      </c>
      <c r="H131" s="222"/>
      <c r="I131" s="225" t="s">
        <v>407</v>
      </c>
    </row>
    <row r="132" spans="1:16" s="38" customFormat="1" ht="13.8">
      <c r="A132" s="56"/>
      <c r="B132" s="222"/>
      <c r="C132" s="254"/>
      <c r="D132" s="39"/>
      <c r="E132" s="75"/>
      <c r="F132" s="224"/>
      <c r="G132" s="222"/>
      <c r="H132" s="224"/>
      <c r="I132" s="39"/>
      <c r="J132" s="39"/>
      <c r="K132" s="39"/>
      <c r="L132" s="39"/>
      <c r="M132" s="39"/>
      <c r="N132" s="39"/>
      <c r="O132" s="39"/>
      <c r="P132" s="39"/>
    </row>
    <row r="133" spans="1:16" s="61" customFormat="1" ht="13.8">
      <c r="A133" s="40" t="s">
        <v>335</v>
      </c>
      <c r="B133" s="227"/>
      <c r="C133" s="256"/>
      <c r="D133" s="40"/>
      <c r="E133" s="229"/>
      <c r="F133" s="230"/>
      <c r="G133" s="227"/>
      <c r="H133" s="230"/>
      <c r="I133" s="40"/>
      <c r="J133" s="40"/>
      <c r="K133" s="40"/>
      <c r="L133" s="40"/>
      <c r="M133" s="40"/>
      <c r="N133" s="40"/>
      <c r="O133" s="40"/>
      <c r="P133" s="40"/>
    </row>
    <row r="134" spans="1:16" s="38" customFormat="1" ht="13.8">
      <c r="A134" s="39" t="s">
        <v>329</v>
      </c>
      <c r="B134" s="222">
        <v>13.152666986556248</v>
      </c>
      <c r="C134" s="253"/>
      <c r="D134" s="39"/>
      <c r="E134" s="75">
        <f ca="1">E127</f>
        <v>6.2993053361453819E-2</v>
      </c>
      <c r="F134" s="224"/>
      <c r="G134" s="222">
        <f ca="1">+B134+E134</f>
        <v>13.215660039917703</v>
      </c>
      <c r="H134" s="224"/>
      <c r="I134" s="39"/>
      <c r="J134" s="39"/>
      <c r="K134" s="39"/>
      <c r="L134" s="39"/>
      <c r="M134" s="39"/>
      <c r="N134" s="39"/>
      <c r="O134" s="39"/>
      <c r="P134" s="39"/>
    </row>
    <row r="135" spans="1:16" s="38" customFormat="1" ht="13.8">
      <c r="A135" s="39" t="s">
        <v>412</v>
      </c>
      <c r="B135" s="222">
        <v>12.620115163142241</v>
      </c>
      <c r="C135" s="253"/>
      <c r="D135" s="39"/>
      <c r="E135" s="75">
        <f ca="1">E128</f>
        <v>4.3443485076864706E-2</v>
      </c>
      <c r="F135" s="224"/>
      <c r="G135" s="222">
        <f ca="1">+B135+E135</f>
        <v>12.663558648219105</v>
      </c>
      <c r="H135" s="224"/>
      <c r="I135" s="225" t="s">
        <v>407</v>
      </c>
      <c r="J135" s="39"/>
      <c r="K135" s="39"/>
      <c r="L135" s="39"/>
      <c r="M135" s="39"/>
      <c r="N135" s="39"/>
      <c r="O135" s="39"/>
      <c r="P135" s="39"/>
    </row>
    <row r="136" spans="1:16" s="38" customFormat="1" ht="13.8">
      <c r="A136" s="39" t="s">
        <v>413</v>
      </c>
      <c r="B136" s="222">
        <v>15.452666986556249</v>
      </c>
      <c r="C136" s="253"/>
      <c r="D136" s="39"/>
      <c r="E136" s="75">
        <f ca="1">E129</f>
        <v>6.2993053361453819E-2</v>
      </c>
      <c r="F136" s="224"/>
      <c r="G136" s="222">
        <f ca="1">+B136+E136</f>
        <v>15.515660039917703</v>
      </c>
      <c r="H136" s="224"/>
      <c r="I136" s="225" t="s">
        <v>407</v>
      </c>
      <c r="J136" s="39"/>
      <c r="K136" s="39"/>
      <c r="L136" s="39"/>
      <c r="M136" s="39"/>
      <c r="N136" s="39"/>
      <c r="O136" s="39"/>
      <c r="P136" s="39"/>
    </row>
    <row r="137" spans="1:16" s="38" customFormat="1" ht="13.8">
      <c r="A137" s="39" t="s">
        <v>414</v>
      </c>
      <c r="B137" s="222">
        <v>18.285218809970257</v>
      </c>
      <c r="C137" s="253"/>
      <c r="D137" s="39"/>
      <c r="E137" s="75"/>
      <c r="F137" s="224"/>
      <c r="G137" s="222">
        <f ca="1">G136+(G136-G135)</f>
        <v>18.367761431616302</v>
      </c>
      <c r="H137" s="222"/>
      <c r="I137" s="225" t="s">
        <v>407</v>
      </c>
      <c r="J137" s="39"/>
      <c r="K137" s="39"/>
      <c r="L137" s="39"/>
      <c r="M137" s="39"/>
      <c r="N137" s="39"/>
      <c r="O137" s="39"/>
      <c r="P137" s="39"/>
    </row>
    <row r="138" spans="1:16" s="38" customFormat="1" ht="13.8">
      <c r="A138" s="39" t="s">
        <v>415</v>
      </c>
      <c r="B138" s="222">
        <v>20.223280583885103</v>
      </c>
      <c r="C138" s="253"/>
      <c r="D138" s="39"/>
      <c r="E138" s="75"/>
      <c r="F138" s="224"/>
      <c r="G138" s="222">
        <f ca="1">G137+((G137-G136)*(65/95))</f>
        <v>20.319199225936394</v>
      </c>
      <c r="H138" s="222"/>
      <c r="I138" s="225" t="s">
        <v>407</v>
      </c>
      <c r="J138" s="39"/>
      <c r="K138" s="39"/>
      <c r="L138" s="39"/>
      <c r="M138" s="39"/>
      <c r="N138" s="39"/>
      <c r="O138" s="39"/>
      <c r="P138" s="39"/>
    </row>
    <row r="139" spans="1:16" s="222" customFormat="1" ht="13.8">
      <c r="A139" s="223"/>
      <c r="C139" s="253"/>
      <c r="D139" s="223"/>
      <c r="E139" s="75"/>
      <c r="F139" s="224"/>
      <c r="H139" s="224"/>
      <c r="I139" s="223"/>
      <c r="J139" s="223"/>
      <c r="K139" s="223"/>
      <c r="L139" s="223"/>
      <c r="M139" s="223"/>
      <c r="N139" s="223"/>
      <c r="O139" s="223"/>
      <c r="P139" s="223"/>
    </row>
    <row r="140" spans="1:16" s="38" customFormat="1" ht="13.8">
      <c r="A140" s="39" t="s">
        <v>266</v>
      </c>
      <c r="B140" s="222">
        <v>4.572666986556249</v>
      </c>
      <c r="C140" s="253"/>
      <c r="D140" s="39"/>
      <c r="E140" s="75">
        <f ca="1">E127</f>
        <v>6.2993053361453819E-2</v>
      </c>
      <c r="F140" s="224"/>
      <c r="G140" s="222">
        <f ca="1">+B140+E140</f>
        <v>4.6356600399177026</v>
      </c>
      <c r="H140" s="224"/>
      <c r="I140" s="39"/>
      <c r="J140" s="39"/>
      <c r="K140" s="39"/>
      <c r="L140" s="39"/>
      <c r="M140" s="39"/>
      <c r="N140" s="39"/>
      <c r="O140" s="39"/>
      <c r="P140" s="39"/>
    </row>
    <row r="141" spans="1:16" s="38" customFormat="1" ht="13.8">
      <c r="A141" s="39"/>
      <c r="B141" s="222"/>
      <c r="C141" s="254"/>
      <c r="D141" s="39"/>
      <c r="E141" s="75"/>
      <c r="F141" s="224"/>
      <c r="G141" s="222"/>
      <c r="H141" s="224"/>
      <c r="I141" s="39"/>
      <c r="J141" s="39"/>
      <c r="K141" s="39"/>
      <c r="L141" s="39"/>
      <c r="M141" s="39"/>
      <c r="N141" s="39"/>
      <c r="O141" s="39"/>
      <c r="P141" s="39"/>
    </row>
    <row r="142" spans="1:16" s="38" customFormat="1" ht="13.8">
      <c r="A142" s="39" t="s">
        <v>330</v>
      </c>
      <c r="B142" s="222">
        <v>14.514648051788557</v>
      </c>
      <c r="C142" s="253"/>
      <c r="D142" s="39"/>
      <c r="E142" s="75">
        <f ca="1">E127*References!C12</f>
        <v>0.27275992105509506</v>
      </c>
      <c r="F142" s="224"/>
      <c r="G142" s="222">
        <f ca="1">+B142+E142</f>
        <v>14.787407972843653</v>
      </c>
      <c r="H142" s="224"/>
      <c r="I142" s="39"/>
      <c r="J142" s="39"/>
      <c r="K142" s="39"/>
      <c r="L142" s="39"/>
      <c r="M142" s="39"/>
      <c r="N142" s="39"/>
      <c r="O142" s="39"/>
      <c r="P142" s="39"/>
    </row>
    <row r="143" spans="1:16" s="38" customFormat="1" ht="13.8">
      <c r="A143" s="39" t="s">
        <v>412</v>
      </c>
      <c r="B143" s="222">
        <v>12.206998656405901</v>
      </c>
      <c r="C143" s="253"/>
      <c r="D143" s="39"/>
      <c r="E143" s="75">
        <f ca="1">E135*References!$C$12</f>
        <v>0.18811029038282417</v>
      </c>
      <c r="F143" s="224"/>
      <c r="G143" s="222">
        <f ca="1">+B143+E143</f>
        <v>12.395108946788724</v>
      </c>
      <c r="H143" s="224"/>
      <c r="I143" s="225" t="s">
        <v>407</v>
      </c>
      <c r="J143" s="39"/>
      <c r="K143" s="39"/>
      <c r="L143" s="39"/>
      <c r="M143" s="39"/>
      <c r="N143" s="39"/>
      <c r="O143" s="39"/>
      <c r="P143" s="39"/>
    </row>
    <row r="144" spans="1:16" s="38" customFormat="1" ht="13.8">
      <c r="A144" s="39" t="s">
        <v>413</v>
      </c>
      <c r="B144" s="222">
        <v>24.474648051788556</v>
      </c>
      <c r="C144" s="253"/>
      <c r="D144" s="39"/>
      <c r="E144" s="75">
        <f ca="1">E136*References!$C$12</f>
        <v>0.27275992105509506</v>
      </c>
      <c r="F144" s="224"/>
      <c r="G144" s="222">
        <f ca="1">+B144+E144</f>
        <v>24.74740797284365</v>
      </c>
      <c r="H144" s="224"/>
      <c r="I144" s="225" t="s">
        <v>407</v>
      </c>
      <c r="J144" s="39"/>
      <c r="K144" s="39"/>
      <c r="L144" s="39"/>
      <c r="M144" s="39"/>
      <c r="N144" s="39"/>
      <c r="O144" s="39"/>
      <c r="P144" s="39"/>
    </row>
    <row r="145" spans="1:16" s="38" customFormat="1" ht="13.8">
      <c r="A145" s="39" t="s">
        <v>414</v>
      </c>
      <c r="B145" s="222">
        <v>36.740774742805719</v>
      </c>
      <c r="C145" s="253"/>
      <c r="D145" s="39"/>
      <c r="E145" s="75">
        <f ca="1">+G145-B145</f>
        <v>0.35740955172735767</v>
      </c>
      <c r="F145" s="224"/>
      <c r="G145" s="222">
        <f ca="1">G130*References!$C$12</f>
        <v>37.098184294533077</v>
      </c>
      <c r="H145" s="224"/>
      <c r="I145" s="225" t="s">
        <v>407</v>
      </c>
      <c r="J145" s="39"/>
      <c r="K145" s="39"/>
      <c r="L145" s="39"/>
      <c r="M145" s="39"/>
      <c r="N145" s="39"/>
      <c r="O145" s="39"/>
      <c r="P145" s="39"/>
    </row>
    <row r="146" spans="1:16" s="38" customFormat="1" ht="13.8">
      <c r="A146" s="39" t="s">
        <v>415</v>
      </c>
      <c r="B146" s="222">
        <v>45.129954122259022</v>
      </c>
      <c r="C146" s="253"/>
      <c r="D146" s="39"/>
      <c r="E146" s="75">
        <f ca="1">+G146-B146</f>
        <v>0.4153277200820682</v>
      </c>
      <c r="F146" s="224"/>
      <c r="G146" s="222">
        <f ca="1">G131*References!$C$12</f>
        <v>45.54528184234109</v>
      </c>
      <c r="H146" s="224"/>
      <c r="I146" s="225" t="s">
        <v>407</v>
      </c>
      <c r="J146" s="39"/>
      <c r="K146" s="39"/>
      <c r="L146" s="39"/>
      <c r="M146" s="39"/>
      <c r="N146" s="39"/>
      <c r="O146" s="39"/>
      <c r="P146" s="39"/>
    </row>
    <row r="147" spans="1:16" s="38" customFormat="1" ht="13.8">
      <c r="A147" s="39"/>
      <c r="B147" s="222"/>
      <c r="C147" s="253"/>
      <c r="D147" s="39"/>
      <c r="E147" s="75"/>
      <c r="F147" s="41"/>
      <c r="G147" s="222"/>
      <c r="H147" s="224"/>
      <c r="I147" s="39"/>
      <c r="J147" s="39"/>
      <c r="K147" s="39"/>
      <c r="L147" s="39"/>
      <c r="M147" s="39"/>
      <c r="N147" s="39"/>
      <c r="O147" s="39"/>
      <c r="P147" s="39"/>
    </row>
    <row r="148" spans="1:16" s="38" customFormat="1" ht="13.8">
      <c r="A148" s="56"/>
      <c r="C148" s="254"/>
      <c r="D148" s="39"/>
      <c r="E148" s="44"/>
      <c r="F148" s="41"/>
      <c r="H148" s="41"/>
      <c r="I148" s="39"/>
      <c r="J148" s="39"/>
      <c r="K148" s="39"/>
      <c r="L148" s="39"/>
      <c r="M148" s="39"/>
      <c r="N148" s="39"/>
      <c r="O148" s="39"/>
      <c r="P148" s="39"/>
    </row>
    <row r="149" spans="1:16" s="38" customFormat="1" ht="13.8">
      <c r="A149" s="52" t="s">
        <v>443</v>
      </c>
      <c r="B149" s="55"/>
      <c r="C149" s="255"/>
      <c r="D149" s="62"/>
      <c r="E149" s="60"/>
      <c r="F149" s="63"/>
      <c r="G149" s="55"/>
      <c r="H149" s="63"/>
      <c r="I149" s="39"/>
      <c r="J149" s="39"/>
      <c r="K149" s="39"/>
      <c r="L149" s="39"/>
      <c r="M149" s="39"/>
      <c r="N149" s="39"/>
      <c r="O149" s="39"/>
      <c r="P149" s="39"/>
    </row>
    <row r="150" spans="1:16" s="38" customFormat="1" ht="13.8">
      <c r="A150" s="40" t="s">
        <v>334</v>
      </c>
      <c r="C150" s="254"/>
      <c r="D150" s="39"/>
      <c r="E150" s="44"/>
      <c r="F150" s="41"/>
      <c r="H150" s="41"/>
      <c r="I150" s="39"/>
      <c r="J150" s="39"/>
      <c r="K150" s="39"/>
      <c r="L150" s="39"/>
      <c r="M150" s="39"/>
      <c r="N150" s="39"/>
      <c r="O150" s="39"/>
      <c r="P150" s="39"/>
    </row>
    <row r="151" spans="1:16" s="38" customFormat="1" ht="13.8">
      <c r="A151" s="40" t="s">
        <v>1</v>
      </c>
      <c r="C151" s="254"/>
      <c r="D151" s="39"/>
      <c r="E151" s="44"/>
      <c r="F151" s="41"/>
      <c r="H151" s="41"/>
      <c r="I151" s="39"/>
      <c r="J151" s="39"/>
      <c r="K151" s="39"/>
      <c r="L151" s="39"/>
      <c r="M151" s="39"/>
      <c r="N151" s="39"/>
      <c r="O151" s="39"/>
      <c r="P151" s="39"/>
    </row>
    <row r="152" spans="1:16" s="38" customFormat="1" ht="13.8">
      <c r="A152" s="39" t="s">
        <v>262</v>
      </c>
      <c r="B152" s="222">
        <v>73.497462571617177</v>
      </c>
      <c r="C152" s="253"/>
      <c r="D152" s="223"/>
      <c r="E152" s="75">
        <f ca="1">+'Regulated DF Calc'!N77</f>
        <v>2.8151378329808323</v>
      </c>
      <c r="F152" s="224"/>
      <c r="G152" s="222">
        <f ca="1">+B152+E152</f>
        <v>76.312600404598015</v>
      </c>
      <c r="H152" s="224"/>
      <c r="I152" s="39"/>
      <c r="J152" s="61" t="s">
        <v>277</v>
      </c>
      <c r="K152" s="40" t="s">
        <v>63</v>
      </c>
      <c r="L152" s="39"/>
      <c r="M152" s="39"/>
      <c r="N152" s="39"/>
      <c r="O152" s="39"/>
      <c r="P152" s="39"/>
    </row>
    <row r="153" spans="1:16" s="38" customFormat="1" ht="13.8">
      <c r="A153" s="39" t="s">
        <v>267</v>
      </c>
      <c r="B153" s="222">
        <v>100.26089443325594</v>
      </c>
      <c r="C153" s="253"/>
      <c r="D153" s="223"/>
      <c r="E153" s="75">
        <f ca="1">K153</f>
        <v>4.1097536882714012</v>
      </c>
      <c r="F153" s="224"/>
      <c r="G153" s="222">
        <f ca="1">+B153+E153</f>
        <v>104.37064812152734</v>
      </c>
      <c r="H153" s="224"/>
      <c r="I153" s="39"/>
      <c r="J153" s="38">
        <f>References!C57*'Regulated DF Calc'!$H$115</f>
        <v>1434.5975910415971</v>
      </c>
      <c r="K153" s="76">
        <f ca="1">J153*(References!$D$69/References!$F$78)</f>
        <v>4.1097536882714012</v>
      </c>
      <c r="L153" s="39"/>
      <c r="M153" s="39"/>
      <c r="N153" s="39"/>
      <c r="O153" s="39"/>
      <c r="P153" s="39"/>
    </row>
    <row r="154" spans="1:16" s="38" customFormat="1" ht="13.8">
      <c r="A154" s="39" t="s">
        <v>268</v>
      </c>
      <c r="B154" s="222">
        <v>130.2941190012387</v>
      </c>
      <c r="C154" s="253"/>
      <c r="D154" s="223"/>
      <c r="E154" s="75">
        <f ca="1">+'Regulated DF Calc'!N78</f>
        <v>5.3261712704236128</v>
      </c>
      <c r="F154" s="224"/>
      <c r="G154" s="222">
        <f ca="1">+B154+E154</f>
        <v>135.6202902716623</v>
      </c>
      <c r="H154" s="224"/>
      <c r="I154" s="40"/>
      <c r="L154" s="39"/>
      <c r="M154" s="76"/>
      <c r="N154" s="39"/>
      <c r="O154" s="39"/>
      <c r="P154" s="39"/>
    </row>
    <row r="155" spans="1:16" s="38" customFormat="1" ht="13.8">
      <c r="A155" s="39" t="s">
        <v>269</v>
      </c>
      <c r="B155" s="222">
        <v>180.81238771485152</v>
      </c>
      <c r="C155" s="253"/>
      <c r="D155" s="223"/>
      <c r="E155" s="75">
        <f ca="1">+E152*3</f>
        <v>8.4454134989424965</v>
      </c>
      <c r="F155" s="224"/>
      <c r="G155" s="222">
        <f ca="1">+B155+E155</f>
        <v>189.25780121379401</v>
      </c>
      <c r="H155" s="224"/>
      <c r="I155" s="76"/>
      <c r="L155" s="39"/>
      <c r="M155" s="39"/>
      <c r="N155" s="39"/>
      <c r="O155" s="39"/>
      <c r="P155" s="39"/>
    </row>
    <row r="156" spans="1:16" s="38" customFormat="1" ht="13.8">
      <c r="A156" s="56"/>
      <c r="B156" s="222"/>
      <c r="C156" s="253"/>
      <c r="D156" s="223"/>
      <c r="E156" s="75"/>
      <c r="F156" s="224"/>
      <c r="G156" s="222"/>
      <c r="H156" s="224"/>
      <c r="I156" s="39"/>
      <c r="J156" s="39"/>
      <c r="K156" s="39"/>
      <c r="L156" s="39"/>
      <c r="M156" s="39"/>
      <c r="N156" s="39"/>
      <c r="O156" s="39"/>
      <c r="P156" s="39"/>
    </row>
    <row r="157" spans="1:16" s="38" customFormat="1" ht="13.8">
      <c r="A157" s="40" t="s">
        <v>264</v>
      </c>
      <c r="B157" s="222"/>
      <c r="C157" s="253"/>
      <c r="D157" s="223"/>
      <c r="E157" s="75"/>
      <c r="F157" s="224"/>
      <c r="G157" s="222"/>
      <c r="H157" s="224"/>
      <c r="I157" s="39"/>
      <c r="J157" s="39"/>
      <c r="K157" s="39"/>
      <c r="L157" s="39"/>
      <c r="M157" s="39"/>
      <c r="N157" s="39"/>
      <c r="O157" s="39"/>
      <c r="P157" s="39"/>
    </row>
    <row r="158" spans="1:16" s="38" customFormat="1" ht="13.8">
      <c r="A158" s="39" t="s">
        <v>262</v>
      </c>
      <c r="B158" s="222">
        <v>74.627462571617173</v>
      </c>
      <c r="C158" s="253"/>
      <c r="D158" s="223"/>
      <c r="E158" s="75">
        <f ca="1">E152</f>
        <v>2.8151378329808323</v>
      </c>
      <c r="F158" s="224"/>
      <c r="G158" s="222">
        <f ca="1">+B158+E158</f>
        <v>77.442600404598011</v>
      </c>
      <c r="H158" s="224"/>
      <c r="I158" s="39"/>
      <c r="J158" s="39"/>
      <c r="K158" s="39"/>
      <c r="L158" s="39"/>
      <c r="M158" s="39"/>
      <c r="N158" s="39"/>
      <c r="O158" s="39"/>
      <c r="P158" s="39"/>
    </row>
    <row r="159" spans="1:16" s="38" customFormat="1" ht="13.8">
      <c r="A159" s="39" t="s">
        <v>267</v>
      </c>
      <c r="B159" s="222">
        <v>102.53089443325595</v>
      </c>
      <c r="C159" s="253"/>
      <c r="D159" s="223"/>
      <c r="E159" s="75">
        <f ca="1">+E153</f>
        <v>4.1097536882714012</v>
      </c>
      <c r="F159" s="224"/>
      <c r="G159" s="222">
        <f ca="1">+B159+E159</f>
        <v>106.64064812152735</v>
      </c>
      <c r="H159" s="224"/>
      <c r="I159" s="39"/>
      <c r="J159" s="39"/>
      <c r="K159" s="39"/>
      <c r="L159" s="39"/>
      <c r="M159" s="39"/>
      <c r="N159" s="39"/>
      <c r="O159" s="39"/>
      <c r="P159" s="39"/>
    </row>
    <row r="160" spans="1:16" s="38" customFormat="1" ht="13.8">
      <c r="A160" s="39" t="s">
        <v>268</v>
      </c>
      <c r="B160" s="222">
        <v>131.42411900123869</v>
      </c>
      <c r="C160" s="253"/>
      <c r="D160" s="223"/>
      <c r="E160" s="75">
        <f ca="1">+'Regulated DF Calc'!N83</f>
        <v>5.3261712704236119</v>
      </c>
      <c r="F160" s="224"/>
      <c r="G160" s="222">
        <f ca="1">+B160+E160</f>
        <v>136.75029027166229</v>
      </c>
      <c r="H160" s="224"/>
      <c r="I160" s="39"/>
      <c r="J160" s="39"/>
      <c r="K160" s="39"/>
      <c r="L160" s="39"/>
      <c r="M160" s="39"/>
      <c r="N160" s="39"/>
      <c r="O160" s="39"/>
      <c r="P160" s="39"/>
    </row>
    <row r="161" spans="1:16" s="38" customFormat="1" ht="13.8">
      <c r="A161" s="39" t="s">
        <v>269</v>
      </c>
      <c r="B161" s="222">
        <v>181.94238771485152</v>
      </c>
      <c r="C161" s="253"/>
      <c r="D161" s="223"/>
      <c r="E161" s="75">
        <f ca="1">+E155</f>
        <v>8.4454134989424965</v>
      </c>
      <c r="F161" s="224"/>
      <c r="G161" s="222">
        <f ca="1">+B161+E161</f>
        <v>190.38780121379401</v>
      </c>
      <c r="H161" s="224"/>
      <c r="I161" s="39"/>
      <c r="J161" s="39"/>
      <c r="K161" s="39"/>
      <c r="L161" s="39"/>
      <c r="M161" s="39"/>
      <c r="N161" s="39"/>
      <c r="O161" s="39"/>
      <c r="P161" s="39"/>
    </row>
    <row r="162" spans="1:16" s="38" customFormat="1" ht="13.8">
      <c r="A162" s="56"/>
      <c r="B162" s="222"/>
      <c r="C162" s="253"/>
      <c r="D162" s="223"/>
      <c r="E162" s="75"/>
      <c r="F162" s="224"/>
      <c r="G162" s="222"/>
      <c r="H162" s="224"/>
      <c r="I162" s="39"/>
      <c r="J162" s="39"/>
      <c r="K162" s="39"/>
      <c r="L162" s="39"/>
      <c r="M162" s="39"/>
      <c r="N162" s="39"/>
      <c r="O162" s="39"/>
      <c r="P162" s="39"/>
    </row>
    <row r="163" spans="1:16" s="38" customFormat="1" ht="13.8">
      <c r="A163" s="40" t="s">
        <v>265</v>
      </c>
      <c r="B163" s="222"/>
      <c r="C163" s="253"/>
      <c r="D163" s="223"/>
      <c r="E163" s="75"/>
      <c r="F163" s="224"/>
      <c r="G163" s="222"/>
      <c r="H163" s="224"/>
      <c r="I163" s="39"/>
      <c r="J163" s="39"/>
      <c r="K163" s="39"/>
      <c r="L163" s="39"/>
      <c r="M163" s="39"/>
      <c r="N163" s="39"/>
      <c r="O163" s="39"/>
      <c r="P163" s="39"/>
    </row>
    <row r="164" spans="1:16" s="38" customFormat="1" ht="13.8">
      <c r="A164" s="40" t="s">
        <v>1</v>
      </c>
      <c r="B164" s="222"/>
      <c r="C164" s="253"/>
      <c r="D164" s="223"/>
      <c r="E164" s="75"/>
      <c r="F164" s="224"/>
      <c r="G164" s="222"/>
      <c r="H164" s="224"/>
      <c r="I164" s="39"/>
      <c r="J164" s="39"/>
      <c r="K164" s="39"/>
      <c r="L164" s="39"/>
      <c r="M164" s="39"/>
      <c r="N164" s="39"/>
      <c r="O164" s="39"/>
      <c r="P164" s="39"/>
    </row>
    <row r="165" spans="1:16" s="38" customFormat="1" ht="13.8">
      <c r="A165" s="39" t="s">
        <v>262</v>
      </c>
      <c r="B165" s="222">
        <v>73.497462571617177</v>
      </c>
      <c r="C165" s="253"/>
      <c r="D165" s="223"/>
      <c r="E165" s="75">
        <f ca="1">+E152</f>
        <v>2.8151378329808323</v>
      </c>
      <c r="F165" s="224"/>
      <c r="G165" s="222">
        <f ca="1">+B165+E165</f>
        <v>76.312600404598015</v>
      </c>
      <c r="H165" s="224"/>
      <c r="I165" s="39"/>
      <c r="J165" s="39"/>
      <c r="K165" s="39"/>
      <c r="L165" s="39"/>
      <c r="M165" s="39"/>
      <c r="N165" s="39"/>
      <c r="O165" s="39"/>
      <c r="P165" s="39"/>
    </row>
    <row r="166" spans="1:16" s="38" customFormat="1" ht="13.8">
      <c r="A166" s="39" t="s">
        <v>267</v>
      </c>
      <c r="B166" s="222">
        <v>100.26089443325594</v>
      </c>
      <c r="C166" s="253"/>
      <c r="D166" s="223"/>
      <c r="E166" s="75">
        <f ca="1">+E153</f>
        <v>4.1097536882714012</v>
      </c>
      <c r="F166" s="224"/>
      <c r="G166" s="222">
        <f ca="1">+B166+E166</f>
        <v>104.37064812152734</v>
      </c>
      <c r="H166" s="224"/>
      <c r="I166" s="39"/>
      <c r="J166" s="39"/>
      <c r="K166" s="39"/>
      <c r="L166" s="39"/>
      <c r="M166" s="39"/>
      <c r="N166" s="39"/>
      <c r="O166" s="39"/>
      <c r="P166" s="39"/>
    </row>
    <row r="167" spans="1:16" s="38" customFormat="1" ht="13.8">
      <c r="A167" s="39" t="s">
        <v>268</v>
      </c>
      <c r="B167" s="222">
        <v>130.2941190012387</v>
      </c>
      <c r="C167" s="253"/>
      <c r="D167" s="223"/>
      <c r="E167" s="75">
        <f t="shared" ref="E167:E168" ca="1" si="11">+E154</f>
        <v>5.3261712704236128</v>
      </c>
      <c r="F167" s="224"/>
      <c r="G167" s="222">
        <f ca="1">+B167+E167</f>
        <v>135.6202902716623</v>
      </c>
      <c r="H167" s="224"/>
      <c r="I167" s="39"/>
      <c r="J167" s="39"/>
      <c r="K167" s="39"/>
      <c r="L167" s="39"/>
      <c r="M167" s="39"/>
      <c r="N167" s="39"/>
      <c r="O167" s="39"/>
      <c r="P167" s="39"/>
    </row>
    <row r="168" spans="1:16" s="38" customFormat="1" ht="13.8">
      <c r="A168" s="39" t="s">
        <v>269</v>
      </c>
      <c r="B168" s="222">
        <f>+B155</f>
        <v>180.81238771485152</v>
      </c>
      <c r="C168" s="267"/>
      <c r="D168" s="223"/>
      <c r="E168" s="75">
        <f t="shared" ca="1" si="11"/>
        <v>8.4454134989424965</v>
      </c>
      <c r="F168" s="224"/>
      <c r="G168" s="222">
        <f ca="1">+B168+E168</f>
        <v>189.25780121379401</v>
      </c>
      <c r="H168" s="224"/>
      <c r="I168" s="39"/>
      <c r="J168" s="39"/>
      <c r="K168" s="39"/>
      <c r="L168" s="39"/>
      <c r="M168" s="39"/>
      <c r="N168" s="39"/>
      <c r="O168" s="39"/>
      <c r="P168" s="39"/>
    </row>
    <row r="169" spans="1:16" s="38" customFormat="1" ht="13.8">
      <c r="A169" s="56"/>
      <c r="C169" s="254"/>
      <c r="D169" s="39"/>
      <c r="E169" s="44"/>
      <c r="F169" s="41"/>
      <c r="H169" s="41"/>
      <c r="I169" s="39"/>
      <c r="J169" s="39"/>
      <c r="K169" s="39"/>
      <c r="L169" s="39"/>
      <c r="M169" s="39"/>
      <c r="N169" s="39"/>
      <c r="O169" s="39"/>
      <c r="P169" s="39"/>
    </row>
    <row r="170" spans="1:16" s="38" customFormat="1" ht="13.8">
      <c r="A170" s="52" t="s">
        <v>444</v>
      </c>
      <c r="B170" s="55"/>
      <c r="C170" s="255"/>
      <c r="D170" s="62"/>
      <c r="E170" s="60"/>
      <c r="F170" s="63"/>
      <c r="G170" s="55"/>
      <c r="H170" s="63"/>
      <c r="I170" s="39"/>
      <c r="J170" s="39"/>
      <c r="K170" s="39"/>
      <c r="L170" s="39"/>
      <c r="M170" s="39"/>
      <c r="N170" s="39"/>
      <c r="O170" s="39"/>
      <c r="P170" s="39"/>
    </row>
    <row r="171" spans="1:16" s="61" customFormat="1" ht="13.8">
      <c r="A171" s="40" t="s">
        <v>333</v>
      </c>
      <c r="B171" s="227"/>
      <c r="C171" s="258"/>
      <c r="D171" s="228"/>
      <c r="E171" s="229"/>
      <c r="F171" s="230"/>
      <c r="G171" s="227"/>
      <c r="H171" s="230"/>
      <c r="I171" s="228"/>
      <c r="J171" s="40"/>
      <c r="K171" s="40"/>
      <c r="L171" s="40"/>
      <c r="M171" s="40"/>
      <c r="N171" s="40"/>
      <c r="O171" s="40"/>
      <c r="P171" s="40"/>
    </row>
    <row r="172" spans="1:16" s="39" customFormat="1" ht="13.8">
      <c r="A172" s="39" t="s">
        <v>331</v>
      </c>
      <c r="B172" s="222">
        <v>132.17411900123869</v>
      </c>
      <c r="C172" s="253"/>
      <c r="D172" s="223"/>
      <c r="E172" s="75">
        <f ca="1">+E154</f>
        <v>5.3261712704236128</v>
      </c>
      <c r="F172" s="224"/>
      <c r="G172" s="222">
        <f ca="1">+B172+E172</f>
        <v>137.50029027166229</v>
      </c>
      <c r="H172" s="224"/>
      <c r="I172" s="223"/>
    </row>
    <row r="173" spans="1:16">
      <c r="B173" s="231"/>
      <c r="C173" s="259"/>
      <c r="D173" s="232"/>
      <c r="E173" s="233"/>
      <c r="F173" s="234"/>
      <c r="G173" s="231"/>
      <c r="H173" s="234"/>
      <c r="I173" s="232"/>
      <c r="J173" s="67"/>
    </row>
    <row r="174" spans="1:16" s="40" customFormat="1" ht="13.8">
      <c r="A174" s="40" t="s">
        <v>270</v>
      </c>
      <c r="B174" s="227"/>
      <c r="C174" s="258"/>
      <c r="D174" s="228"/>
      <c r="E174" s="229"/>
      <c r="F174" s="230"/>
      <c r="G174" s="227"/>
      <c r="H174" s="230"/>
      <c r="I174" s="228"/>
    </row>
    <row r="175" spans="1:16" s="39" customFormat="1" ht="13.8">
      <c r="A175" s="39" t="s">
        <v>332</v>
      </c>
      <c r="B175" s="222">
        <v>132.17411900123869</v>
      </c>
      <c r="C175" s="253"/>
      <c r="D175" s="223"/>
      <c r="E175" s="75">
        <f ca="1">+E154</f>
        <v>5.3261712704236128</v>
      </c>
      <c r="F175" s="224"/>
      <c r="G175" s="222">
        <f ca="1">+B175+E175</f>
        <v>137.50029027166229</v>
      </c>
      <c r="H175" s="224"/>
      <c r="I175" s="223"/>
    </row>
    <row r="176" spans="1:16" s="39" customFormat="1" ht="13.8">
      <c r="B176" s="222"/>
      <c r="C176" s="223"/>
      <c r="D176" s="223"/>
      <c r="E176" s="75"/>
      <c r="F176" s="224"/>
      <c r="G176" s="222"/>
      <c r="H176" s="224"/>
      <c r="I176" s="223"/>
    </row>
    <row r="177" spans="1:1322" s="38" customFormat="1" ht="13.8">
      <c r="A177" s="39"/>
      <c r="B177" s="41"/>
      <c r="C177" s="39"/>
      <c r="D177" s="39"/>
      <c r="E177" s="44"/>
      <c r="F177" s="41"/>
      <c r="G177" s="41"/>
      <c r="H177" s="41"/>
      <c r="I177" s="39"/>
      <c r="K177" s="39"/>
      <c r="L177" s="39"/>
      <c r="M177" s="39"/>
      <c r="N177" s="39"/>
      <c r="O177" s="39"/>
      <c r="P177" s="39"/>
      <c r="Q177" s="39"/>
      <c r="R177" s="39"/>
    </row>
    <row r="178" spans="1:1322" s="38" customFormat="1" ht="13.8">
      <c r="A178" s="39"/>
      <c r="B178" s="41"/>
      <c r="C178" s="39"/>
      <c r="D178" s="39"/>
      <c r="E178" s="44"/>
      <c r="F178" s="41"/>
      <c r="G178" s="41"/>
      <c r="H178" s="41"/>
      <c r="I178" s="39"/>
      <c r="K178" s="39"/>
      <c r="L178" s="39"/>
      <c r="M178" s="39"/>
      <c r="N178" s="39"/>
      <c r="O178" s="39"/>
      <c r="P178" s="39"/>
      <c r="Q178" s="39"/>
      <c r="R178" s="39"/>
    </row>
    <row r="179" spans="1:1322" s="38" customFormat="1" ht="13.8">
      <c r="A179" s="40"/>
      <c r="B179" s="41"/>
      <c r="C179" s="39"/>
      <c r="D179" s="39"/>
      <c r="E179" s="44"/>
      <c r="F179" s="41"/>
      <c r="G179" s="41"/>
      <c r="H179" s="41"/>
      <c r="I179" s="39"/>
      <c r="K179" s="39"/>
      <c r="L179" s="39"/>
      <c r="M179" s="39"/>
      <c r="N179" s="39"/>
      <c r="O179" s="39"/>
      <c r="P179" s="39"/>
      <c r="Q179" s="39"/>
      <c r="R179" s="39"/>
    </row>
    <row r="180" spans="1:1322" s="38" customFormat="1" ht="13.8">
      <c r="A180" s="39"/>
      <c r="B180" s="41"/>
      <c r="C180" s="39"/>
      <c r="D180" s="39"/>
      <c r="E180" s="44"/>
      <c r="F180" s="41"/>
      <c r="G180" s="41"/>
      <c r="H180" s="41"/>
      <c r="I180" s="39"/>
      <c r="K180" s="39"/>
      <c r="L180" s="39"/>
      <c r="M180" s="39"/>
      <c r="N180" s="39"/>
      <c r="O180" s="39"/>
      <c r="P180" s="39"/>
      <c r="Q180" s="39"/>
      <c r="R180" s="39"/>
    </row>
    <row r="181" spans="1:1322" s="38" customFormat="1" ht="13.8">
      <c r="A181" s="39"/>
      <c r="B181" s="41"/>
      <c r="C181" s="39"/>
      <c r="D181" s="39"/>
      <c r="E181" s="44"/>
      <c r="F181" s="41"/>
      <c r="G181" s="41"/>
      <c r="H181" s="41"/>
      <c r="I181" s="39"/>
      <c r="K181" s="39"/>
      <c r="L181" s="39"/>
      <c r="M181" s="39"/>
      <c r="N181" s="39"/>
      <c r="O181" s="39"/>
      <c r="P181" s="39"/>
      <c r="Q181" s="39"/>
      <c r="R181" s="39"/>
    </row>
    <row r="182" spans="1:1322" s="38" customFormat="1" ht="13.8">
      <c r="A182" s="39"/>
      <c r="B182" s="41"/>
      <c r="C182" s="39"/>
      <c r="D182" s="39"/>
      <c r="E182" s="44"/>
      <c r="F182" s="41"/>
      <c r="G182" s="41"/>
      <c r="H182" s="41"/>
      <c r="I182" s="39"/>
      <c r="K182" s="39"/>
      <c r="L182" s="39"/>
      <c r="M182" s="39"/>
      <c r="N182" s="39"/>
      <c r="O182" s="39"/>
      <c r="P182" s="39"/>
      <c r="Q182" s="39"/>
      <c r="R182" s="39"/>
    </row>
    <row r="183" spans="1:1322" s="38" customFormat="1" ht="13.8">
      <c r="A183" s="39"/>
      <c r="B183" s="41"/>
      <c r="C183" s="39"/>
      <c r="D183" s="39"/>
      <c r="E183" s="44"/>
      <c r="F183" s="41"/>
      <c r="G183" s="41"/>
      <c r="H183" s="41"/>
      <c r="I183" s="39"/>
      <c r="K183" s="39"/>
      <c r="L183" s="39"/>
      <c r="M183" s="39"/>
      <c r="N183" s="39"/>
      <c r="O183" s="39"/>
      <c r="P183" s="39"/>
      <c r="Q183" s="39"/>
      <c r="R183" s="39"/>
    </row>
    <row r="184" spans="1:1322" s="38" customFormat="1" ht="13.8">
      <c r="A184" s="39"/>
      <c r="B184" s="41"/>
      <c r="C184" s="39"/>
      <c r="D184" s="39"/>
      <c r="E184" s="44"/>
      <c r="F184" s="41"/>
      <c r="G184" s="41"/>
      <c r="H184" s="41"/>
      <c r="I184" s="39"/>
      <c r="K184" s="39"/>
      <c r="L184" s="39"/>
      <c r="M184" s="39"/>
      <c r="N184" s="39"/>
      <c r="O184" s="39"/>
      <c r="P184" s="39"/>
      <c r="Q184" s="39"/>
      <c r="R184" s="39"/>
    </row>
    <row r="185" spans="1:1322" s="38" customFormat="1" ht="13.8">
      <c r="A185" s="39"/>
      <c r="B185" s="41"/>
      <c r="C185" s="39"/>
      <c r="D185" s="39"/>
      <c r="E185" s="44"/>
      <c r="F185" s="41"/>
      <c r="G185" s="41"/>
      <c r="H185" s="41"/>
      <c r="I185" s="39"/>
      <c r="K185" s="39"/>
      <c r="L185" s="39"/>
      <c r="M185" s="39"/>
      <c r="N185" s="39"/>
      <c r="O185" s="39"/>
      <c r="P185" s="39"/>
      <c r="Q185" s="39"/>
      <c r="R185" s="39"/>
    </row>
    <row r="186" spans="1:1322" s="38" customFormat="1" ht="13.8">
      <c r="A186" s="39"/>
      <c r="B186" s="41"/>
      <c r="C186" s="39"/>
      <c r="D186" s="39"/>
      <c r="E186" s="44"/>
      <c r="F186" s="41"/>
      <c r="G186" s="41"/>
      <c r="H186" s="41"/>
      <c r="I186" s="39"/>
      <c r="K186" s="39"/>
      <c r="L186" s="39"/>
      <c r="M186" s="39"/>
      <c r="N186" s="39"/>
      <c r="O186" s="39"/>
      <c r="P186" s="39"/>
      <c r="Q186" s="39"/>
      <c r="R186" s="39"/>
    </row>
    <row r="187" spans="1:1322" s="38" customFormat="1" ht="13.8">
      <c r="A187" s="39"/>
      <c r="C187" s="39"/>
      <c r="D187" s="39"/>
      <c r="E187" s="44"/>
      <c r="F187" s="41"/>
      <c r="G187" s="41"/>
      <c r="H187" s="41"/>
      <c r="I187" s="39"/>
      <c r="K187" s="39"/>
      <c r="L187" s="39"/>
      <c r="M187" s="39"/>
      <c r="N187" s="39"/>
      <c r="O187" s="39"/>
      <c r="P187" s="39"/>
      <c r="Q187" s="39"/>
      <c r="R187" s="39"/>
    </row>
    <row r="188" spans="1:1322" s="65" customFormat="1" ht="13.8">
      <c r="A188" s="39"/>
      <c r="B188" s="38"/>
      <c r="C188" s="39"/>
      <c r="D188" s="39"/>
      <c r="E188" s="44"/>
      <c r="F188" s="41"/>
      <c r="G188" s="41"/>
      <c r="H188" s="41"/>
      <c r="I188" s="39"/>
      <c r="J188" s="38"/>
      <c r="K188" s="39"/>
      <c r="L188" s="39"/>
      <c r="M188" s="39"/>
      <c r="N188" s="39"/>
      <c r="O188" s="39"/>
      <c r="P188" s="39"/>
      <c r="Q188" s="39"/>
      <c r="R188" s="39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8"/>
      <c r="DD188" s="38"/>
      <c r="DE188" s="38"/>
      <c r="DF188" s="38"/>
      <c r="DG188" s="38"/>
      <c r="DH188" s="38"/>
      <c r="DI188" s="38"/>
      <c r="DJ188" s="38"/>
      <c r="DK188" s="38"/>
      <c r="DL188" s="38"/>
      <c r="DM188" s="38"/>
      <c r="DN188" s="38"/>
      <c r="DO188" s="38"/>
      <c r="DP188" s="38"/>
      <c r="DQ188" s="38"/>
      <c r="DR188" s="38"/>
      <c r="DS188" s="38"/>
      <c r="DT188" s="38"/>
      <c r="DU188" s="38"/>
      <c r="DV188" s="38"/>
      <c r="DW188" s="38"/>
      <c r="DX188" s="38"/>
      <c r="DY188" s="38"/>
      <c r="DZ188" s="38"/>
      <c r="EA188" s="38"/>
      <c r="EB188" s="38"/>
      <c r="EC188" s="38"/>
      <c r="ED188" s="38"/>
      <c r="EE188" s="38"/>
      <c r="EF188" s="38"/>
      <c r="EG188" s="38"/>
      <c r="EH188" s="38"/>
      <c r="EI188" s="38"/>
      <c r="EJ188" s="38"/>
      <c r="EK188" s="38"/>
      <c r="EL188" s="38"/>
      <c r="EM188" s="38"/>
      <c r="EN188" s="38"/>
      <c r="EO188" s="38"/>
      <c r="EP188" s="38"/>
      <c r="EQ188" s="38"/>
      <c r="ER188" s="38"/>
      <c r="ES188" s="38"/>
      <c r="ET188" s="38"/>
      <c r="EU188" s="38"/>
      <c r="EV188" s="38"/>
      <c r="EW188" s="38"/>
      <c r="EX188" s="38"/>
      <c r="EY188" s="38"/>
      <c r="EZ188" s="38"/>
      <c r="FA188" s="38"/>
      <c r="FB188" s="38"/>
      <c r="FC188" s="38"/>
      <c r="FD188" s="38"/>
      <c r="FE188" s="38"/>
      <c r="FF188" s="38"/>
      <c r="FG188" s="38"/>
      <c r="FH188" s="38"/>
      <c r="FI188" s="38"/>
      <c r="FJ188" s="38"/>
      <c r="FK188" s="38"/>
      <c r="FL188" s="38"/>
      <c r="FM188" s="38"/>
      <c r="FN188" s="38"/>
      <c r="FO188" s="38"/>
      <c r="FP188" s="38"/>
      <c r="FQ188" s="38"/>
      <c r="FR188" s="38"/>
      <c r="FS188" s="38"/>
      <c r="FT188" s="38"/>
      <c r="FU188" s="38"/>
      <c r="FV188" s="38"/>
      <c r="FW188" s="38"/>
      <c r="FX188" s="38"/>
      <c r="FY188" s="38"/>
      <c r="FZ188" s="38"/>
      <c r="GA188" s="38"/>
      <c r="GB188" s="38"/>
      <c r="GC188" s="38"/>
      <c r="GD188" s="38"/>
      <c r="GE188" s="38"/>
      <c r="GF188" s="38"/>
      <c r="GG188" s="38"/>
      <c r="GH188" s="38"/>
      <c r="GI188" s="38"/>
      <c r="GJ188" s="38"/>
      <c r="GK188" s="38"/>
      <c r="GL188" s="38"/>
      <c r="GM188" s="38"/>
      <c r="GN188" s="38"/>
      <c r="GO188" s="38"/>
      <c r="GP188" s="38"/>
      <c r="GQ188" s="38"/>
      <c r="GR188" s="38"/>
      <c r="GS188" s="38"/>
      <c r="GT188" s="38"/>
      <c r="GU188" s="38"/>
      <c r="GV188" s="38"/>
      <c r="GW188" s="38"/>
      <c r="GX188" s="38"/>
      <c r="GY188" s="38"/>
      <c r="GZ188" s="38"/>
      <c r="HA188" s="38"/>
      <c r="HB188" s="38"/>
      <c r="HC188" s="38"/>
      <c r="HD188" s="38"/>
      <c r="HE188" s="38"/>
      <c r="HF188" s="38"/>
      <c r="HG188" s="38"/>
      <c r="HH188" s="38"/>
      <c r="HI188" s="38"/>
      <c r="HJ188" s="38"/>
      <c r="HK188" s="38"/>
      <c r="HL188" s="38"/>
      <c r="HM188" s="38"/>
      <c r="HN188" s="38"/>
      <c r="HO188" s="38"/>
      <c r="HP188" s="38"/>
      <c r="HQ188" s="38"/>
      <c r="HR188" s="38"/>
      <c r="HS188" s="38"/>
      <c r="HT188" s="38"/>
      <c r="HU188" s="38"/>
      <c r="HV188" s="38"/>
      <c r="HW188" s="38"/>
      <c r="HX188" s="38"/>
      <c r="HY188" s="38"/>
      <c r="HZ188" s="38"/>
      <c r="IA188" s="38"/>
      <c r="IB188" s="38"/>
      <c r="IC188" s="38"/>
      <c r="ID188" s="38"/>
      <c r="IE188" s="38"/>
      <c r="IF188" s="38"/>
      <c r="IG188" s="38"/>
      <c r="IH188" s="38"/>
      <c r="II188" s="38"/>
      <c r="IJ188" s="38"/>
      <c r="IK188" s="38"/>
      <c r="IL188" s="38"/>
      <c r="IM188" s="38"/>
      <c r="IN188" s="38"/>
      <c r="IO188" s="38"/>
      <c r="IP188" s="38"/>
      <c r="IQ188" s="38"/>
      <c r="IR188" s="38"/>
      <c r="IS188" s="38"/>
      <c r="IT188" s="38"/>
      <c r="IU188" s="38"/>
      <c r="IV188" s="38"/>
      <c r="IW188" s="38"/>
      <c r="IX188" s="38"/>
      <c r="IY188" s="38"/>
      <c r="IZ188" s="38"/>
      <c r="JA188" s="38"/>
      <c r="JB188" s="38"/>
      <c r="JC188" s="38"/>
      <c r="JD188" s="38"/>
      <c r="JE188" s="38"/>
      <c r="JF188" s="38"/>
      <c r="JG188" s="38"/>
      <c r="JH188" s="38"/>
      <c r="JI188" s="38"/>
      <c r="JJ188" s="38"/>
      <c r="JK188" s="38"/>
      <c r="JL188" s="38"/>
      <c r="JM188" s="38"/>
      <c r="JN188" s="38"/>
      <c r="JO188" s="38"/>
      <c r="JP188" s="38"/>
      <c r="JQ188" s="38"/>
      <c r="JR188" s="38"/>
      <c r="JS188" s="38"/>
      <c r="JT188" s="38"/>
      <c r="JU188" s="38"/>
      <c r="JV188" s="38"/>
      <c r="JW188" s="38"/>
      <c r="JX188" s="38"/>
      <c r="JY188" s="38"/>
      <c r="JZ188" s="38"/>
      <c r="KA188" s="38"/>
      <c r="KB188" s="38"/>
      <c r="KC188" s="38"/>
      <c r="KD188" s="38"/>
      <c r="KE188" s="38"/>
      <c r="KF188" s="38"/>
      <c r="KG188" s="38"/>
      <c r="KH188" s="38"/>
      <c r="KI188" s="38"/>
      <c r="KJ188" s="38"/>
      <c r="KK188" s="38"/>
      <c r="KL188" s="38"/>
      <c r="KM188" s="38"/>
      <c r="KN188" s="38"/>
      <c r="KO188" s="38"/>
      <c r="KP188" s="38"/>
      <c r="KQ188" s="38"/>
      <c r="KR188" s="38"/>
      <c r="KS188" s="38"/>
      <c r="KT188" s="38"/>
      <c r="KU188" s="38"/>
      <c r="KV188" s="38"/>
      <c r="KW188" s="38"/>
      <c r="KX188" s="38"/>
      <c r="KY188" s="38"/>
      <c r="KZ188" s="38"/>
      <c r="LA188" s="38"/>
      <c r="LB188" s="38"/>
      <c r="LC188" s="38"/>
      <c r="LD188" s="38"/>
      <c r="LE188" s="38"/>
      <c r="LF188" s="38"/>
      <c r="LG188" s="38"/>
      <c r="LH188" s="38"/>
      <c r="LI188" s="38"/>
      <c r="LJ188" s="38"/>
      <c r="LK188" s="38"/>
      <c r="LL188" s="38"/>
      <c r="LM188" s="38"/>
      <c r="LN188" s="38"/>
      <c r="LO188" s="38"/>
      <c r="LP188" s="38"/>
      <c r="LQ188" s="38"/>
      <c r="LR188" s="38"/>
      <c r="LS188" s="38"/>
      <c r="LT188" s="38"/>
      <c r="LU188" s="38"/>
      <c r="LV188" s="38"/>
      <c r="LW188" s="38"/>
      <c r="LX188" s="38"/>
      <c r="LY188" s="38"/>
      <c r="LZ188" s="38"/>
      <c r="MA188" s="38"/>
      <c r="MB188" s="38"/>
      <c r="MC188" s="38"/>
      <c r="MD188" s="38"/>
      <c r="ME188" s="38"/>
      <c r="MF188" s="38"/>
      <c r="MG188" s="38"/>
      <c r="MH188" s="38"/>
      <c r="MI188" s="38"/>
      <c r="MJ188" s="38"/>
      <c r="MK188" s="38"/>
      <c r="ML188" s="38"/>
      <c r="MM188" s="38"/>
      <c r="MN188" s="38"/>
      <c r="MO188" s="38"/>
      <c r="MP188" s="38"/>
      <c r="MQ188" s="38"/>
      <c r="MR188" s="38"/>
      <c r="MS188" s="38"/>
      <c r="MT188" s="38"/>
      <c r="MU188" s="38"/>
      <c r="MV188" s="38"/>
      <c r="MW188" s="38"/>
      <c r="MX188" s="38"/>
      <c r="MY188" s="38"/>
      <c r="MZ188" s="38"/>
      <c r="NA188" s="38"/>
      <c r="NB188" s="38"/>
      <c r="NC188" s="38"/>
      <c r="ND188" s="38"/>
      <c r="NE188" s="38"/>
      <c r="NF188" s="38"/>
      <c r="NG188" s="38"/>
      <c r="NH188" s="38"/>
      <c r="NI188" s="38"/>
      <c r="NJ188" s="38"/>
      <c r="NK188" s="38"/>
      <c r="NL188" s="38"/>
      <c r="NM188" s="38"/>
      <c r="NN188" s="38"/>
      <c r="NO188" s="38"/>
      <c r="NP188" s="38"/>
      <c r="NQ188" s="38"/>
      <c r="NR188" s="38"/>
      <c r="NS188" s="38"/>
      <c r="NT188" s="38"/>
      <c r="NU188" s="38"/>
      <c r="NV188" s="38"/>
      <c r="NW188" s="38"/>
      <c r="NX188" s="38"/>
      <c r="NY188" s="38"/>
      <c r="NZ188" s="38"/>
      <c r="OA188" s="38"/>
      <c r="OB188" s="38"/>
      <c r="OC188" s="38"/>
      <c r="OD188" s="38"/>
      <c r="OE188" s="38"/>
      <c r="OF188" s="38"/>
      <c r="OG188" s="38"/>
      <c r="OH188" s="38"/>
      <c r="OI188" s="38"/>
      <c r="OJ188" s="38"/>
      <c r="OK188" s="38"/>
      <c r="OL188" s="38"/>
      <c r="OM188" s="38"/>
      <c r="ON188" s="38"/>
      <c r="OO188" s="38"/>
      <c r="OP188" s="38"/>
      <c r="OQ188" s="38"/>
      <c r="OR188" s="38"/>
      <c r="OS188" s="38"/>
      <c r="OT188" s="38"/>
      <c r="OU188" s="38"/>
      <c r="OV188" s="38"/>
      <c r="OW188" s="38"/>
      <c r="OX188" s="38"/>
      <c r="OY188" s="38"/>
      <c r="OZ188" s="38"/>
      <c r="PA188" s="38"/>
      <c r="PB188" s="38"/>
      <c r="PC188" s="38"/>
      <c r="PD188" s="38"/>
      <c r="PE188" s="38"/>
      <c r="PF188" s="38"/>
      <c r="PG188" s="38"/>
      <c r="PH188" s="38"/>
      <c r="PI188" s="38"/>
      <c r="PJ188" s="38"/>
      <c r="PK188" s="38"/>
      <c r="PL188" s="38"/>
      <c r="PM188" s="38"/>
      <c r="PN188" s="38"/>
      <c r="PO188" s="38"/>
      <c r="PP188" s="38"/>
      <c r="PQ188" s="38"/>
      <c r="PR188" s="38"/>
      <c r="PS188" s="38"/>
      <c r="PT188" s="38"/>
      <c r="PU188" s="38"/>
      <c r="PV188" s="38"/>
      <c r="PW188" s="38"/>
      <c r="PX188" s="38"/>
      <c r="PY188" s="38"/>
      <c r="PZ188" s="38"/>
      <c r="QA188" s="38"/>
      <c r="QB188" s="38"/>
      <c r="QC188" s="38"/>
      <c r="QD188" s="38"/>
      <c r="QE188" s="38"/>
      <c r="QF188" s="38"/>
      <c r="QG188" s="38"/>
      <c r="QH188" s="38"/>
      <c r="QI188" s="38"/>
      <c r="QJ188" s="38"/>
      <c r="QK188" s="38"/>
      <c r="QL188" s="38"/>
      <c r="QM188" s="38"/>
      <c r="QN188" s="38"/>
      <c r="QO188" s="38"/>
      <c r="QP188" s="38"/>
      <c r="QQ188" s="38"/>
      <c r="QR188" s="38"/>
      <c r="QS188" s="38"/>
      <c r="QT188" s="38"/>
      <c r="QU188" s="38"/>
      <c r="QV188" s="38"/>
      <c r="QW188" s="38"/>
      <c r="QX188" s="38"/>
      <c r="QY188" s="38"/>
      <c r="QZ188" s="38"/>
      <c r="RA188" s="38"/>
      <c r="RB188" s="38"/>
      <c r="RC188" s="38"/>
      <c r="RD188" s="38"/>
      <c r="RE188" s="38"/>
      <c r="RF188" s="38"/>
      <c r="RG188" s="38"/>
      <c r="RH188" s="38"/>
      <c r="RI188" s="38"/>
      <c r="RJ188" s="38"/>
      <c r="RK188" s="38"/>
      <c r="RL188" s="38"/>
      <c r="RM188" s="38"/>
      <c r="RN188" s="38"/>
      <c r="RO188" s="38"/>
      <c r="RP188" s="38"/>
      <c r="RQ188" s="38"/>
      <c r="RR188" s="38"/>
      <c r="RS188" s="38"/>
      <c r="RT188" s="38"/>
      <c r="RU188" s="38"/>
      <c r="RV188" s="38"/>
      <c r="RW188" s="38"/>
      <c r="RX188" s="38"/>
      <c r="RY188" s="38"/>
      <c r="RZ188" s="38"/>
      <c r="SA188" s="38"/>
      <c r="SB188" s="38"/>
      <c r="SC188" s="38"/>
      <c r="SD188" s="38"/>
      <c r="SE188" s="38"/>
      <c r="SF188" s="38"/>
      <c r="SG188" s="38"/>
      <c r="SH188" s="38"/>
      <c r="SI188" s="38"/>
      <c r="SJ188" s="38"/>
      <c r="SK188" s="38"/>
      <c r="SL188" s="38"/>
      <c r="SM188" s="38"/>
      <c r="SN188" s="38"/>
      <c r="SO188" s="38"/>
      <c r="SP188" s="38"/>
      <c r="SQ188" s="38"/>
      <c r="SR188" s="38"/>
      <c r="SS188" s="38"/>
      <c r="ST188" s="38"/>
      <c r="SU188" s="38"/>
      <c r="SV188" s="38"/>
      <c r="SW188" s="38"/>
      <c r="SX188" s="38"/>
      <c r="SY188" s="38"/>
      <c r="SZ188" s="38"/>
      <c r="TA188" s="38"/>
      <c r="TB188" s="38"/>
      <c r="TC188" s="38"/>
      <c r="TD188" s="38"/>
      <c r="TE188" s="38"/>
      <c r="TF188" s="38"/>
      <c r="TG188" s="38"/>
      <c r="TH188" s="38"/>
      <c r="TI188" s="38"/>
      <c r="TJ188" s="38"/>
      <c r="TK188" s="38"/>
      <c r="TL188" s="38"/>
      <c r="TM188" s="38"/>
      <c r="TN188" s="38"/>
      <c r="TO188" s="38"/>
      <c r="TP188" s="38"/>
      <c r="TQ188" s="38"/>
      <c r="TR188" s="38"/>
      <c r="TS188" s="38"/>
      <c r="TT188" s="38"/>
      <c r="TU188" s="38"/>
      <c r="TV188" s="38"/>
      <c r="TW188" s="38"/>
      <c r="TX188" s="38"/>
      <c r="TY188" s="38"/>
      <c r="TZ188" s="38"/>
      <c r="UA188" s="38"/>
      <c r="UB188" s="38"/>
      <c r="UC188" s="38"/>
      <c r="UD188" s="38"/>
      <c r="UE188" s="38"/>
      <c r="UF188" s="38"/>
      <c r="UG188" s="38"/>
      <c r="UH188" s="38"/>
      <c r="UI188" s="38"/>
      <c r="UJ188" s="38"/>
      <c r="UK188" s="38"/>
      <c r="UL188" s="38"/>
      <c r="UM188" s="38"/>
      <c r="UN188" s="38"/>
      <c r="UO188" s="38"/>
      <c r="UP188" s="38"/>
      <c r="UQ188" s="38"/>
      <c r="UR188" s="38"/>
      <c r="US188" s="38"/>
      <c r="UT188" s="38"/>
      <c r="UU188" s="38"/>
      <c r="UV188" s="38"/>
      <c r="UW188" s="38"/>
      <c r="UX188" s="38"/>
      <c r="UY188" s="38"/>
      <c r="UZ188" s="38"/>
      <c r="VA188" s="38"/>
      <c r="VB188" s="38"/>
      <c r="VC188" s="38"/>
      <c r="VD188" s="38"/>
      <c r="VE188" s="38"/>
      <c r="VF188" s="38"/>
      <c r="VG188" s="38"/>
      <c r="VH188" s="38"/>
      <c r="VI188" s="38"/>
      <c r="VJ188" s="38"/>
      <c r="VK188" s="38"/>
      <c r="VL188" s="38"/>
      <c r="VM188" s="38"/>
      <c r="VN188" s="38"/>
      <c r="VO188" s="38"/>
      <c r="VP188" s="38"/>
      <c r="VQ188" s="38"/>
      <c r="VR188" s="38"/>
      <c r="VS188" s="38"/>
      <c r="VT188" s="38"/>
      <c r="VU188" s="38"/>
      <c r="VV188" s="38"/>
      <c r="VW188" s="38"/>
      <c r="VX188" s="38"/>
      <c r="VY188" s="38"/>
      <c r="VZ188" s="38"/>
      <c r="WA188" s="38"/>
      <c r="WB188" s="38"/>
      <c r="WC188" s="38"/>
      <c r="WD188" s="38"/>
      <c r="WE188" s="38"/>
      <c r="WF188" s="38"/>
      <c r="WG188" s="38"/>
      <c r="WH188" s="38"/>
      <c r="WI188" s="38"/>
      <c r="WJ188" s="38"/>
      <c r="WK188" s="38"/>
      <c r="WL188" s="38"/>
      <c r="WM188" s="38"/>
      <c r="WN188" s="38"/>
      <c r="WO188" s="38"/>
      <c r="WP188" s="38"/>
      <c r="WQ188" s="38"/>
      <c r="WR188" s="38"/>
      <c r="WS188" s="38"/>
      <c r="WT188" s="38"/>
      <c r="WU188" s="38"/>
      <c r="WV188" s="38"/>
      <c r="WW188" s="38"/>
      <c r="WX188" s="38"/>
      <c r="WY188" s="38"/>
      <c r="WZ188" s="38"/>
      <c r="XA188" s="38"/>
      <c r="XB188" s="38"/>
      <c r="XC188" s="38"/>
      <c r="XD188" s="38"/>
      <c r="XE188" s="38"/>
      <c r="XF188" s="38"/>
      <c r="XG188" s="38"/>
      <c r="XH188" s="38"/>
      <c r="XI188" s="38"/>
      <c r="XJ188" s="38"/>
      <c r="XK188" s="38"/>
      <c r="XL188" s="38"/>
      <c r="XM188" s="38"/>
      <c r="XN188" s="38"/>
      <c r="XO188" s="38"/>
      <c r="XP188" s="38"/>
      <c r="XQ188" s="38"/>
      <c r="XR188" s="38"/>
      <c r="XS188" s="38"/>
      <c r="XT188" s="38"/>
      <c r="XU188" s="38"/>
      <c r="XV188" s="38"/>
      <c r="XW188" s="38"/>
      <c r="XX188" s="38"/>
      <c r="XY188" s="38"/>
      <c r="XZ188" s="38"/>
      <c r="YA188" s="38"/>
      <c r="YB188" s="38"/>
      <c r="YC188" s="38"/>
      <c r="YD188" s="38"/>
      <c r="YE188" s="38"/>
      <c r="YF188" s="38"/>
      <c r="YG188" s="38"/>
      <c r="YH188" s="38"/>
      <c r="YI188" s="38"/>
      <c r="YJ188" s="38"/>
      <c r="YK188" s="38"/>
      <c r="YL188" s="38"/>
      <c r="YM188" s="38"/>
      <c r="YN188" s="38"/>
      <c r="YO188" s="38"/>
      <c r="YP188" s="38"/>
      <c r="YQ188" s="38"/>
      <c r="YR188" s="38"/>
      <c r="YS188" s="38"/>
      <c r="YT188" s="38"/>
      <c r="YU188" s="38"/>
      <c r="YV188" s="38"/>
      <c r="YW188" s="38"/>
      <c r="YX188" s="38"/>
      <c r="YY188" s="38"/>
      <c r="YZ188" s="38"/>
      <c r="ZA188" s="38"/>
      <c r="ZB188" s="38"/>
      <c r="ZC188" s="38"/>
      <c r="ZD188" s="38"/>
      <c r="ZE188" s="38"/>
      <c r="ZF188" s="38"/>
      <c r="ZG188" s="38"/>
      <c r="ZH188" s="38"/>
      <c r="ZI188" s="38"/>
      <c r="ZJ188" s="38"/>
      <c r="ZK188" s="38"/>
      <c r="ZL188" s="38"/>
      <c r="ZM188" s="38"/>
      <c r="ZN188" s="38"/>
      <c r="ZO188" s="38"/>
      <c r="ZP188" s="38"/>
      <c r="ZQ188" s="38"/>
      <c r="ZR188" s="38"/>
      <c r="ZS188" s="38"/>
      <c r="ZT188" s="38"/>
      <c r="ZU188" s="38"/>
      <c r="ZV188" s="38"/>
      <c r="ZW188" s="38"/>
      <c r="ZX188" s="38"/>
      <c r="ZY188" s="38"/>
      <c r="ZZ188" s="38"/>
      <c r="AAA188" s="38"/>
      <c r="AAB188" s="38"/>
      <c r="AAC188" s="38"/>
      <c r="AAD188" s="38"/>
      <c r="AAE188" s="38"/>
      <c r="AAF188" s="38"/>
      <c r="AAG188" s="38"/>
      <c r="AAH188" s="38"/>
      <c r="AAI188" s="38"/>
      <c r="AAJ188" s="38"/>
      <c r="AAK188" s="38"/>
      <c r="AAL188" s="38"/>
      <c r="AAM188" s="38"/>
      <c r="AAN188" s="38"/>
      <c r="AAO188" s="38"/>
      <c r="AAP188" s="38"/>
      <c r="AAQ188" s="38"/>
      <c r="AAR188" s="38"/>
      <c r="AAS188" s="38"/>
      <c r="AAT188" s="38"/>
      <c r="AAU188" s="38"/>
      <c r="AAV188" s="38"/>
      <c r="AAW188" s="38"/>
      <c r="AAX188" s="38"/>
      <c r="AAY188" s="38"/>
      <c r="AAZ188" s="38"/>
      <c r="ABA188" s="38"/>
      <c r="ABB188" s="38"/>
      <c r="ABC188" s="38"/>
      <c r="ABD188" s="38"/>
      <c r="ABE188" s="38"/>
      <c r="ABF188" s="38"/>
      <c r="ABG188" s="38"/>
      <c r="ABH188" s="38"/>
      <c r="ABI188" s="38"/>
      <c r="ABJ188" s="38"/>
      <c r="ABK188" s="38"/>
      <c r="ABL188" s="38"/>
      <c r="ABM188" s="38"/>
      <c r="ABN188" s="38"/>
      <c r="ABO188" s="38"/>
      <c r="ABP188" s="38"/>
      <c r="ABQ188" s="38"/>
      <c r="ABR188" s="38"/>
      <c r="ABS188" s="38"/>
      <c r="ABT188" s="38"/>
      <c r="ABU188" s="38"/>
      <c r="ABV188" s="38"/>
      <c r="ABW188" s="38"/>
      <c r="ABX188" s="38"/>
      <c r="ABY188" s="38"/>
      <c r="ABZ188" s="38"/>
      <c r="ACA188" s="38"/>
      <c r="ACB188" s="38"/>
      <c r="ACC188" s="38"/>
      <c r="ACD188" s="38"/>
      <c r="ACE188" s="38"/>
      <c r="ACF188" s="38"/>
      <c r="ACG188" s="38"/>
      <c r="ACH188" s="38"/>
      <c r="ACI188" s="38"/>
      <c r="ACJ188" s="38"/>
      <c r="ACK188" s="38"/>
      <c r="ACL188" s="38"/>
      <c r="ACM188" s="38"/>
      <c r="ACN188" s="38"/>
      <c r="ACO188" s="38"/>
      <c r="ACP188" s="38"/>
      <c r="ACQ188" s="38"/>
      <c r="ACR188" s="38"/>
      <c r="ACS188" s="38"/>
      <c r="ACT188" s="38"/>
      <c r="ACU188" s="38"/>
      <c r="ACV188" s="38"/>
      <c r="ACW188" s="38"/>
      <c r="ACX188" s="38"/>
      <c r="ACY188" s="38"/>
      <c r="ACZ188" s="38"/>
      <c r="ADA188" s="38"/>
      <c r="ADB188" s="38"/>
      <c r="ADC188" s="38"/>
      <c r="ADD188" s="38"/>
      <c r="ADE188" s="38"/>
      <c r="ADF188" s="38"/>
      <c r="ADG188" s="38"/>
      <c r="ADH188" s="38"/>
      <c r="ADI188" s="38"/>
      <c r="ADJ188" s="38"/>
      <c r="ADK188" s="38"/>
      <c r="ADL188" s="38"/>
      <c r="ADM188" s="38"/>
      <c r="ADN188" s="38"/>
      <c r="ADO188" s="38"/>
      <c r="ADP188" s="38"/>
      <c r="ADQ188" s="38"/>
      <c r="ADR188" s="38"/>
      <c r="ADS188" s="38"/>
      <c r="ADT188" s="38"/>
      <c r="ADU188" s="38"/>
      <c r="ADV188" s="38"/>
      <c r="ADW188" s="38"/>
      <c r="ADX188" s="38"/>
      <c r="ADY188" s="38"/>
      <c r="ADZ188" s="38"/>
      <c r="AEA188" s="38"/>
      <c r="AEB188" s="38"/>
      <c r="AEC188" s="38"/>
      <c r="AED188" s="38"/>
      <c r="AEE188" s="38"/>
      <c r="AEF188" s="38"/>
      <c r="AEG188" s="38"/>
      <c r="AEH188" s="38"/>
      <c r="AEI188" s="38"/>
      <c r="AEJ188" s="38"/>
      <c r="AEK188" s="38"/>
      <c r="AEL188" s="38"/>
      <c r="AEM188" s="38"/>
      <c r="AEN188" s="38"/>
      <c r="AEO188" s="38"/>
      <c r="AEP188" s="38"/>
      <c r="AEQ188" s="38"/>
      <c r="AER188" s="38"/>
      <c r="AES188" s="38"/>
      <c r="AET188" s="38"/>
      <c r="AEU188" s="38"/>
      <c r="AEV188" s="38"/>
      <c r="AEW188" s="38"/>
      <c r="AEX188" s="38"/>
      <c r="AEY188" s="38"/>
      <c r="AEZ188" s="38"/>
      <c r="AFA188" s="38"/>
      <c r="AFB188" s="38"/>
      <c r="AFC188" s="38"/>
      <c r="AFD188" s="38"/>
      <c r="AFE188" s="38"/>
      <c r="AFF188" s="38"/>
      <c r="AFG188" s="38"/>
      <c r="AFH188" s="38"/>
      <c r="AFI188" s="38"/>
      <c r="AFJ188" s="38"/>
      <c r="AFK188" s="38"/>
      <c r="AFL188" s="38"/>
      <c r="AFM188" s="38"/>
      <c r="AFN188" s="38"/>
      <c r="AFO188" s="38"/>
      <c r="AFP188" s="38"/>
      <c r="AFQ188" s="38"/>
      <c r="AFR188" s="38"/>
      <c r="AFS188" s="38"/>
      <c r="AFT188" s="38"/>
      <c r="AFU188" s="38"/>
      <c r="AFV188" s="38"/>
      <c r="AFW188" s="38"/>
      <c r="AFX188" s="38"/>
      <c r="AFY188" s="38"/>
      <c r="AFZ188" s="38"/>
      <c r="AGA188" s="38"/>
      <c r="AGB188" s="38"/>
      <c r="AGC188" s="38"/>
      <c r="AGD188" s="38"/>
      <c r="AGE188" s="38"/>
      <c r="AGF188" s="38"/>
      <c r="AGG188" s="38"/>
      <c r="AGH188" s="38"/>
      <c r="AGI188" s="38"/>
      <c r="AGJ188" s="38"/>
      <c r="AGK188" s="38"/>
      <c r="AGL188" s="38"/>
      <c r="AGM188" s="38"/>
      <c r="AGN188" s="38"/>
      <c r="AGO188" s="38"/>
      <c r="AGP188" s="38"/>
      <c r="AGQ188" s="38"/>
      <c r="AGR188" s="38"/>
      <c r="AGS188" s="38"/>
      <c r="AGT188" s="38"/>
      <c r="AGU188" s="38"/>
      <c r="AGV188" s="38"/>
      <c r="AGW188" s="38"/>
      <c r="AGX188" s="38"/>
      <c r="AGY188" s="38"/>
      <c r="AGZ188" s="38"/>
      <c r="AHA188" s="38"/>
      <c r="AHB188" s="38"/>
      <c r="AHC188" s="38"/>
      <c r="AHD188" s="38"/>
      <c r="AHE188" s="38"/>
      <c r="AHF188" s="38"/>
      <c r="AHG188" s="38"/>
      <c r="AHH188" s="38"/>
      <c r="AHI188" s="38"/>
      <c r="AHJ188" s="38"/>
      <c r="AHK188" s="38"/>
      <c r="AHL188" s="38"/>
      <c r="AHM188" s="38"/>
      <c r="AHN188" s="38"/>
      <c r="AHO188" s="38"/>
      <c r="AHP188" s="38"/>
      <c r="AHQ188" s="38"/>
      <c r="AHR188" s="38"/>
      <c r="AHS188" s="38"/>
      <c r="AHT188" s="38"/>
      <c r="AHU188" s="38"/>
      <c r="AHV188" s="38"/>
      <c r="AHW188" s="38"/>
      <c r="AHX188" s="38"/>
      <c r="AHY188" s="38"/>
      <c r="AHZ188" s="38"/>
      <c r="AIA188" s="38"/>
      <c r="AIB188" s="38"/>
      <c r="AIC188" s="38"/>
      <c r="AID188" s="38"/>
      <c r="AIE188" s="38"/>
      <c r="AIF188" s="38"/>
      <c r="AIG188" s="38"/>
      <c r="AIH188" s="38"/>
      <c r="AII188" s="38"/>
      <c r="AIJ188" s="38"/>
      <c r="AIK188" s="38"/>
      <c r="AIL188" s="38"/>
      <c r="AIM188" s="38"/>
      <c r="AIN188" s="38"/>
      <c r="AIO188" s="38"/>
      <c r="AIP188" s="38"/>
      <c r="AIQ188" s="38"/>
      <c r="AIR188" s="38"/>
      <c r="AIS188" s="38"/>
      <c r="AIT188" s="38"/>
      <c r="AIU188" s="38"/>
      <c r="AIV188" s="38"/>
      <c r="AIW188" s="38"/>
      <c r="AIX188" s="38"/>
      <c r="AIY188" s="38"/>
      <c r="AIZ188" s="38"/>
      <c r="AJA188" s="38"/>
      <c r="AJB188" s="38"/>
      <c r="AJC188" s="38"/>
      <c r="AJD188" s="38"/>
      <c r="AJE188" s="38"/>
      <c r="AJF188" s="38"/>
      <c r="AJG188" s="38"/>
      <c r="AJH188" s="38"/>
      <c r="AJI188" s="38"/>
      <c r="AJJ188" s="38"/>
      <c r="AJK188" s="38"/>
      <c r="AJL188" s="38"/>
      <c r="AJM188" s="38"/>
      <c r="AJN188" s="38"/>
      <c r="AJO188" s="38"/>
      <c r="AJP188" s="38"/>
      <c r="AJQ188" s="38"/>
      <c r="AJR188" s="38"/>
      <c r="AJS188" s="38"/>
      <c r="AJT188" s="38"/>
      <c r="AJU188" s="38"/>
      <c r="AJV188" s="38"/>
      <c r="AJW188" s="38"/>
      <c r="AJX188" s="38"/>
      <c r="AJY188" s="38"/>
      <c r="AJZ188" s="38"/>
      <c r="AKA188" s="38"/>
      <c r="AKB188" s="38"/>
      <c r="AKC188" s="38"/>
      <c r="AKD188" s="38"/>
      <c r="AKE188" s="38"/>
      <c r="AKF188" s="38"/>
      <c r="AKG188" s="38"/>
      <c r="AKH188" s="38"/>
      <c r="AKI188" s="38"/>
      <c r="AKJ188" s="38"/>
      <c r="AKK188" s="38"/>
      <c r="AKL188" s="38"/>
      <c r="AKM188" s="38"/>
      <c r="AKN188" s="38"/>
      <c r="AKO188" s="38"/>
      <c r="AKP188" s="38"/>
      <c r="AKQ188" s="38"/>
      <c r="AKR188" s="38"/>
      <c r="AKS188" s="38"/>
      <c r="AKT188" s="38"/>
      <c r="AKU188" s="38"/>
      <c r="AKV188" s="38"/>
      <c r="AKW188" s="38"/>
      <c r="AKX188" s="38"/>
      <c r="AKY188" s="38"/>
      <c r="AKZ188" s="38"/>
      <c r="ALA188" s="38"/>
      <c r="ALB188" s="38"/>
      <c r="ALC188" s="38"/>
      <c r="ALD188" s="38"/>
      <c r="ALE188" s="38"/>
      <c r="ALF188" s="38"/>
      <c r="ALG188" s="38"/>
      <c r="ALH188" s="38"/>
      <c r="ALI188" s="38"/>
      <c r="ALJ188" s="38"/>
      <c r="ALK188" s="38"/>
      <c r="ALL188" s="38"/>
      <c r="ALM188" s="38"/>
      <c r="ALN188" s="38"/>
      <c r="ALO188" s="38"/>
      <c r="ALP188" s="38"/>
      <c r="ALQ188" s="38"/>
      <c r="ALR188" s="38"/>
      <c r="ALS188" s="38"/>
      <c r="ALT188" s="38"/>
      <c r="ALU188" s="38"/>
      <c r="ALV188" s="38"/>
      <c r="ALW188" s="38"/>
      <c r="ALX188" s="38"/>
      <c r="ALY188" s="38"/>
      <c r="ALZ188" s="38"/>
      <c r="AMA188" s="38"/>
      <c r="AMB188" s="38"/>
      <c r="AMC188" s="38"/>
      <c r="AMD188" s="38"/>
      <c r="AME188" s="38"/>
      <c r="AMF188" s="38"/>
      <c r="AMG188" s="38"/>
      <c r="AMH188" s="38"/>
      <c r="AMI188" s="38"/>
      <c r="AMJ188" s="38"/>
      <c r="AMK188" s="38"/>
      <c r="AML188" s="38"/>
      <c r="AMM188" s="38"/>
      <c r="AMN188" s="38"/>
      <c r="AMO188" s="38"/>
      <c r="AMP188" s="38"/>
      <c r="AMQ188" s="38"/>
      <c r="AMR188" s="38"/>
      <c r="AMS188" s="38"/>
      <c r="AMT188" s="38"/>
      <c r="AMU188" s="38"/>
      <c r="AMV188" s="38"/>
      <c r="AMW188" s="38"/>
      <c r="AMX188" s="38"/>
      <c r="AMY188" s="38"/>
      <c r="AMZ188" s="38"/>
      <c r="ANA188" s="38"/>
      <c r="ANB188" s="38"/>
      <c r="ANC188" s="38"/>
      <c r="AND188" s="38"/>
      <c r="ANE188" s="38"/>
      <c r="ANF188" s="38"/>
      <c r="ANG188" s="38"/>
      <c r="ANH188" s="38"/>
      <c r="ANI188" s="38"/>
      <c r="ANJ188" s="38"/>
      <c r="ANK188" s="38"/>
      <c r="ANL188" s="38"/>
      <c r="ANM188" s="38"/>
      <c r="ANN188" s="38"/>
      <c r="ANO188" s="38"/>
      <c r="ANP188" s="38"/>
      <c r="ANQ188" s="38"/>
      <c r="ANR188" s="38"/>
      <c r="ANS188" s="38"/>
      <c r="ANT188" s="38"/>
      <c r="ANU188" s="38"/>
      <c r="ANV188" s="38"/>
      <c r="ANW188" s="38"/>
      <c r="ANX188" s="38"/>
      <c r="ANY188" s="38"/>
      <c r="ANZ188" s="38"/>
      <c r="AOA188" s="38"/>
      <c r="AOB188" s="38"/>
      <c r="AOC188" s="38"/>
      <c r="AOD188" s="38"/>
      <c r="AOE188" s="38"/>
      <c r="AOF188" s="38"/>
      <c r="AOG188" s="38"/>
      <c r="AOH188" s="38"/>
      <c r="AOI188" s="38"/>
      <c r="AOJ188" s="38"/>
      <c r="AOK188" s="38"/>
      <c r="AOL188" s="38"/>
      <c r="AOM188" s="38"/>
      <c r="AON188" s="38"/>
      <c r="AOO188" s="38"/>
      <c r="AOP188" s="38"/>
      <c r="AOQ188" s="38"/>
      <c r="AOR188" s="38"/>
      <c r="AOS188" s="38"/>
      <c r="AOT188" s="38"/>
      <c r="AOU188" s="38"/>
      <c r="AOV188" s="38"/>
      <c r="AOW188" s="38"/>
      <c r="AOX188" s="38"/>
      <c r="AOY188" s="38"/>
      <c r="AOZ188" s="38"/>
      <c r="APA188" s="38"/>
      <c r="APB188" s="38"/>
      <c r="APC188" s="38"/>
      <c r="APD188" s="38"/>
      <c r="APE188" s="38"/>
      <c r="APF188" s="38"/>
      <c r="APG188" s="38"/>
      <c r="APH188" s="38"/>
      <c r="API188" s="38"/>
      <c r="APJ188" s="38"/>
      <c r="APK188" s="38"/>
      <c r="APL188" s="38"/>
      <c r="APM188" s="38"/>
      <c r="APN188" s="38"/>
      <c r="APO188" s="38"/>
      <c r="APP188" s="38"/>
      <c r="APQ188" s="38"/>
      <c r="APR188" s="38"/>
      <c r="APS188" s="38"/>
      <c r="APT188" s="38"/>
      <c r="APU188" s="38"/>
      <c r="APV188" s="38"/>
      <c r="APW188" s="38"/>
      <c r="APX188" s="38"/>
      <c r="APY188" s="38"/>
      <c r="APZ188" s="38"/>
      <c r="AQA188" s="38"/>
      <c r="AQB188" s="38"/>
      <c r="AQC188" s="38"/>
      <c r="AQD188" s="38"/>
      <c r="AQE188" s="38"/>
      <c r="AQF188" s="38"/>
      <c r="AQG188" s="38"/>
      <c r="AQH188" s="38"/>
      <c r="AQI188" s="38"/>
      <c r="AQJ188" s="38"/>
      <c r="AQK188" s="38"/>
      <c r="AQL188" s="38"/>
      <c r="AQM188" s="38"/>
      <c r="AQN188" s="38"/>
      <c r="AQO188" s="38"/>
      <c r="AQP188" s="38"/>
      <c r="AQQ188" s="38"/>
      <c r="AQR188" s="38"/>
      <c r="AQS188" s="38"/>
      <c r="AQT188" s="38"/>
      <c r="AQU188" s="38"/>
      <c r="AQV188" s="38"/>
      <c r="AQW188" s="38"/>
      <c r="AQX188" s="38"/>
      <c r="AQY188" s="38"/>
      <c r="AQZ188" s="38"/>
      <c r="ARA188" s="38"/>
      <c r="ARB188" s="38"/>
      <c r="ARC188" s="38"/>
      <c r="ARD188" s="38"/>
      <c r="ARE188" s="38"/>
      <c r="ARF188" s="38"/>
      <c r="ARG188" s="38"/>
      <c r="ARH188" s="38"/>
      <c r="ARI188" s="38"/>
      <c r="ARJ188" s="38"/>
      <c r="ARK188" s="38"/>
      <c r="ARL188" s="38"/>
      <c r="ARM188" s="38"/>
      <c r="ARN188" s="38"/>
      <c r="ARO188" s="38"/>
      <c r="ARP188" s="38"/>
      <c r="ARQ188" s="38"/>
      <c r="ARR188" s="38"/>
      <c r="ARS188" s="38"/>
      <c r="ART188" s="38"/>
      <c r="ARU188" s="38"/>
      <c r="ARV188" s="38"/>
      <c r="ARW188" s="38"/>
      <c r="ARX188" s="38"/>
      <c r="ARY188" s="38"/>
      <c r="ARZ188" s="38"/>
      <c r="ASA188" s="38"/>
      <c r="ASB188" s="38"/>
      <c r="ASC188" s="38"/>
      <c r="ASD188" s="38"/>
      <c r="ASE188" s="38"/>
      <c r="ASF188" s="38"/>
      <c r="ASG188" s="38"/>
      <c r="ASH188" s="38"/>
      <c r="ASI188" s="38"/>
      <c r="ASJ188" s="38"/>
      <c r="ASK188" s="38"/>
      <c r="ASL188" s="38"/>
      <c r="ASM188" s="38"/>
      <c r="ASN188" s="38"/>
      <c r="ASO188" s="38"/>
      <c r="ASP188" s="38"/>
      <c r="ASQ188" s="38"/>
      <c r="ASR188" s="38"/>
      <c r="ASS188" s="38"/>
      <c r="AST188" s="38"/>
      <c r="ASU188" s="38"/>
      <c r="ASV188" s="38"/>
      <c r="ASW188" s="38"/>
      <c r="ASX188" s="38"/>
      <c r="ASY188" s="38"/>
      <c r="ASZ188" s="38"/>
      <c r="ATA188" s="38"/>
      <c r="ATB188" s="38"/>
      <c r="ATC188" s="38"/>
      <c r="ATD188" s="38"/>
      <c r="ATE188" s="38"/>
      <c r="ATF188" s="38"/>
      <c r="ATG188" s="38"/>
      <c r="ATH188" s="38"/>
      <c r="ATI188" s="38"/>
      <c r="ATJ188" s="38"/>
      <c r="ATK188" s="38"/>
      <c r="ATL188" s="38"/>
      <c r="ATM188" s="38"/>
      <c r="ATN188" s="38"/>
      <c r="ATO188" s="38"/>
      <c r="ATP188" s="38"/>
      <c r="ATQ188" s="38"/>
      <c r="ATR188" s="38"/>
      <c r="ATS188" s="38"/>
      <c r="ATT188" s="38"/>
      <c r="ATU188" s="38"/>
      <c r="ATV188" s="38"/>
      <c r="ATW188" s="38"/>
      <c r="ATX188" s="38"/>
      <c r="ATY188" s="38"/>
      <c r="ATZ188" s="38"/>
      <c r="AUA188" s="38"/>
      <c r="AUB188" s="38"/>
      <c r="AUC188" s="38"/>
      <c r="AUD188" s="38"/>
      <c r="AUE188" s="38"/>
      <c r="AUF188" s="38"/>
      <c r="AUG188" s="38"/>
      <c r="AUH188" s="38"/>
      <c r="AUI188" s="38"/>
      <c r="AUJ188" s="38"/>
      <c r="AUK188" s="38"/>
      <c r="AUL188" s="38"/>
      <c r="AUM188" s="38"/>
      <c r="AUN188" s="38"/>
      <c r="AUO188" s="38"/>
      <c r="AUP188" s="38"/>
      <c r="AUQ188" s="38"/>
      <c r="AUR188" s="38"/>
      <c r="AUS188" s="38"/>
      <c r="AUT188" s="38"/>
      <c r="AUU188" s="38"/>
      <c r="AUV188" s="38"/>
      <c r="AUW188" s="38"/>
      <c r="AUX188" s="38"/>
      <c r="AUY188" s="38"/>
      <c r="AUZ188" s="38"/>
      <c r="AVA188" s="38"/>
      <c r="AVB188" s="38"/>
      <c r="AVC188" s="38"/>
      <c r="AVD188" s="38"/>
      <c r="AVE188" s="38"/>
      <c r="AVF188" s="38"/>
      <c r="AVG188" s="38"/>
      <c r="AVH188" s="38"/>
      <c r="AVI188" s="38"/>
      <c r="AVJ188" s="38"/>
      <c r="AVK188" s="38"/>
      <c r="AVL188" s="38"/>
      <c r="AVM188" s="38"/>
      <c r="AVN188" s="38"/>
      <c r="AVO188" s="38"/>
      <c r="AVP188" s="38"/>
      <c r="AVQ188" s="38"/>
      <c r="AVR188" s="38"/>
      <c r="AVS188" s="38"/>
      <c r="AVT188" s="38"/>
      <c r="AVU188" s="38"/>
      <c r="AVV188" s="38"/>
      <c r="AVW188" s="38"/>
      <c r="AVX188" s="38"/>
      <c r="AVY188" s="38"/>
      <c r="AVZ188" s="38"/>
      <c r="AWA188" s="38"/>
      <c r="AWB188" s="38"/>
      <c r="AWC188" s="38"/>
      <c r="AWD188" s="38"/>
      <c r="AWE188" s="38"/>
      <c r="AWF188" s="38"/>
      <c r="AWG188" s="38"/>
      <c r="AWH188" s="38"/>
      <c r="AWI188" s="38"/>
      <c r="AWJ188" s="38"/>
      <c r="AWK188" s="38"/>
      <c r="AWL188" s="38"/>
      <c r="AWM188" s="38"/>
      <c r="AWN188" s="38"/>
      <c r="AWO188" s="38"/>
      <c r="AWP188" s="38"/>
      <c r="AWQ188" s="38"/>
      <c r="AWR188" s="38"/>
      <c r="AWS188" s="38"/>
      <c r="AWT188" s="38"/>
      <c r="AWU188" s="38"/>
      <c r="AWV188" s="38"/>
      <c r="AWW188" s="38"/>
      <c r="AWX188" s="38"/>
      <c r="AWY188" s="38"/>
      <c r="AWZ188" s="38"/>
      <c r="AXA188" s="38"/>
      <c r="AXB188" s="38"/>
      <c r="AXC188" s="38"/>
      <c r="AXD188" s="38"/>
      <c r="AXE188" s="38"/>
      <c r="AXF188" s="38"/>
      <c r="AXG188" s="38"/>
      <c r="AXH188" s="38"/>
      <c r="AXI188" s="38"/>
      <c r="AXJ188" s="38"/>
      <c r="AXK188" s="38"/>
      <c r="AXL188" s="38"/>
      <c r="AXM188" s="38"/>
      <c r="AXN188" s="38"/>
      <c r="AXO188" s="38"/>
      <c r="AXP188" s="38"/>
      <c r="AXQ188" s="38"/>
      <c r="AXR188" s="38"/>
      <c r="AXS188" s="38"/>
      <c r="AXT188" s="38"/>
      <c r="AXU188" s="38"/>
      <c r="AXV188" s="38"/>
    </row>
    <row r="189" spans="1:1322" s="65" customFormat="1" ht="13.2">
      <c r="A189" s="66"/>
      <c r="C189" s="67"/>
      <c r="D189" s="67"/>
      <c r="E189" s="68"/>
      <c r="F189" s="69"/>
      <c r="G189" s="69"/>
      <c r="H189" s="69"/>
      <c r="I189" s="67"/>
      <c r="K189" s="67"/>
      <c r="L189" s="67"/>
      <c r="M189" s="67"/>
      <c r="N189" s="67"/>
      <c r="O189" s="67"/>
      <c r="P189" s="67"/>
      <c r="Q189" s="67"/>
      <c r="R189" s="67"/>
    </row>
    <row r="190" spans="1:1322">
      <c r="A190" s="70"/>
    </row>
    <row r="191" spans="1:1322" s="65" customFormat="1">
      <c r="A191" s="67"/>
      <c r="C191" s="67"/>
      <c r="D191" s="67"/>
      <c r="E191" s="68"/>
      <c r="F191" s="69"/>
      <c r="G191" s="69"/>
      <c r="H191" s="69"/>
      <c r="I191" s="67"/>
      <c r="K191" s="67"/>
      <c r="L191" s="67"/>
      <c r="M191" s="67"/>
      <c r="N191" s="67"/>
      <c r="O191" s="67"/>
      <c r="P191" s="67"/>
      <c r="Q191" s="67"/>
      <c r="R191" s="67"/>
    </row>
    <row r="192" spans="1:1322" s="65" customFormat="1">
      <c r="A192" s="67"/>
      <c r="C192" s="67"/>
      <c r="D192" s="67"/>
      <c r="E192" s="68"/>
      <c r="F192" s="69"/>
      <c r="G192" s="69"/>
      <c r="H192" s="69"/>
      <c r="I192" s="67"/>
      <c r="K192" s="67"/>
      <c r="L192" s="67"/>
      <c r="M192" s="67"/>
      <c r="N192" s="67"/>
      <c r="O192" s="67"/>
      <c r="P192" s="67"/>
      <c r="Q192" s="67"/>
      <c r="R192" s="67"/>
    </row>
    <row r="193" spans="1:2">
      <c r="A193" s="70"/>
    </row>
    <row r="195" spans="1:2">
      <c r="B195" s="65" t="s">
        <v>263</v>
      </c>
    </row>
    <row r="196" spans="1:2" ht="13.2">
      <c r="A196" s="66"/>
    </row>
    <row r="197" spans="1:2" ht="13.2">
      <c r="A197" s="66"/>
    </row>
    <row r="198" spans="1:2" ht="13.2">
      <c r="A198" s="66"/>
    </row>
    <row r="199" spans="1:2" ht="13.2">
      <c r="A199" s="66"/>
    </row>
    <row r="200" spans="1:2" ht="13.2">
      <c r="A200" s="66"/>
    </row>
    <row r="201" spans="1:2" ht="13.2">
      <c r="A201" s="66"/>
    </row>
    <row r="202" spans="1:2" ht="13.2">
      <c r="A202" s="66"/>
    </row>
    <row r="203" spans="1:2" ht="13.2">
      <c r="A203" s="66"/>
    </row>
    <row r="204" spans="1:2" ht="13.2">
      <c r="A204" s="66"/>
    </row>
    <row r="205" spans="1:2" ht="13.2">
      <c r="A205" s="66"/>
    </row>
    <row r="206" spans="1:2" ht="13.2">
      <c r="A206" s="66"/>
    </row>
    <row r="207" spans="1:2" ht="13.2">
      <c r="A207" s="66"/>
    </row>
    <row r="208" spans="1:2" ht="13.2">
      <c r="A208" s="66"/>
    </row>
    <row r="209" spans="1:18" ht="13.2">
      <c r="A209" s="66"/>
    </row>
    <row r="210" spans="1:18" s="65" customFormat="1" ht="13.2">
      <c r="A210" s="66"/>
      <c r="C210" s="67"/>
      <c r="D210" s="67"/>
      <c r="E210" s="68"/>
      <c r="F210" s="69"/>
      <c r="G210" s="69"/>
      <c r="H210" s="69"/>
      <c r="I210" s="67"/>
      <c r="K210" s="67"/>
      <c r="L210" s="67"/>
      <c r="M210" s="67"/>
      <c r="N210" s="67"/>
      <c r="O210" s="67"/>
      <c r="P210" s="67"/>
      <c r="Q210" s="67"/>
      <c r="R210" s="67"/>
    </row>
    <row r="211" spans="1:18" s="65" customFormat="1" ht="13.2">
      <c r="A211" s="71"/>
      <c r="C211" s="67"/>
      <c r="D211" s="67"/>
      <c r="E211" s="68"/>
      <c r="F211" s="69"/>
      <c r="G211" s="69"/>
      <c r="H211" s="69"/>
      <c r="I211" s="67"/>
      <c r="K211" s="67"/>
      <c r="L211" s="67"/>
      <c r="M211" s="67"/>
      <c r="N211" s="67"/>
      <c r="O211" s="67"/>
      <c r="P211" s="67"/>
      <c r="Q211" s="67"/>
      <c r="R211" s="67"/>
    </row>
    <row r="212" spans="1:18" s="65" customFormat="1" ht="13.2">
      <c r="A212" s="66"/>
      <c r="C212" s="67"/>
      <c r="D212" s="67"/>
      <c r="E212" s="68"/>
      <c r="F212" s="69"/>
      <c r="G212" s="69"/>
      <c r="H212" s="69"/>
      <c r="I212" s="67"/>
      <c r="K212" s="67"/>
      <c r="L212" s="67"/>
      <c r="M212" s="67"/>
      <c r="N212" s="67"/>
      <c r="O212" s="67"/>
      <c r="P212" s="67"/>
      <c r="Q212" s="67"/>
      <c r="R212" s="67"/>
    </row>
    <row r="213" spans="1:18" s="65" customFormat="1" ht="13.2">
      <c r="A213" s="66"/>
      <c r="C213" s="67"/>
      <c r="D213" s="67"/>
      <c r="E213" s="68"/>
      <c r="F213" s="69"/>
      <c r="G213" s="69"/>
      <c r="H213" s="69"/>
      <c r="I213" s="67"/>
      <c r="K213" s="67"/>
      <c r="L213" s="67"/>
      <c r="M213" s="67"/>
      <c r="N213" s="67"/>
      <c r="O213" s="67"/>
      <c r="P213" s="67"/>
      <c r="Q213" s="67"/>
      <c r="R213" s="67"/>
    </row>
    <row r="214" spans="1:18" s="65" customFormat="1" ht="13.2">
      <c r="A214" s="71"/>
      <c r="C214" s="67"/>
      <c r="D214" s="67"/>
      <c r="E214" s="68"/>
      <c r="F214" s="69"/>
      <c r="G214" s="69"/>
      <c r="H214" s="69"/>
      <c r="I214" s="67"/>
      <c r="K214" s="67"/>
      <c r="L214" s="67"/>
      <c r="M214" s="67"/>
      <c r="N214" s="67"/>
      <c r="O214" s="67"/>
      <c r="P214" s="67"/>
      <c r="Q214" s="67"/>
      <c r="R214" s="67"/>
    </row>
    <row r="215" spans="1:18" s="65" customFormat="1" ht="13.2">
      <c r="A215" s="71"/>
      <c r="C215" s="67"/>
      <c r="D215" s="67"/>
      <c r="E215" s="68"/>
      <c r="F215" s="69"/>
      <c r="G215" s="69"/>
      <c r="H215" s="69"/>
      <c r="I215" s="67"/>
      <c r="K215" s="67"/>
      <c r="L215" s="67"/>
      <c r="M215" s="67"/>
      <c r="N215" s="67"/>
      <c r="O215" s="67"/>
      <c r="P215" s="67"/>
      <c r="Q215" s="67"/>
      <c r="R215" s="67"/>
    </row>
    <row r="216" spans="1:18" s="65" customFormat="1" ht="13.2">
      <c r="A216" s="66"/>
      <c r="C216" s="67"/>
      <c r="D216" s="67"/>
      <c r="E216" s="68"/>
      <c r="F216" s="69"/>
      <c r="G216" s="69"/>
      <c r="H216" s="69"/>
      <c r="I216" s="67"/>
      <c r="K216" s="67"/>
      <c r="L216" s="67"/>
      <c r="M216" s="67"/>
      <c r="N216" s="67"/>
      <c r="O216" s="67"/>
      <c r="P216" s="67"/>
      <c r="Q216" s="67"/>
      <c r="R216" s="67"/>
    </row>
    <row r="217" spans="1:18" s="65" customFormat="1" ht="13.2">
      <c r="A217" s="66"/>
      <c r="C217" s="67"/>
      <c r="D217" s="67"/>
      <c r="E217" s="68"/>
      <c r="F217" s="69"/>
      <c r="G217" s="69"/>
      <c r="H217" s="69"/>
      <c r="I217" s="67"/>
      <c r="K217" s="67"/>
      <c r="L217" s="67"/>
      <c r="M217" s="67"/>
      <c r="N217" s="67"/>
      <c r="O217" s="67"/>
      <c r="P217" s="67"/>
      <c r="Q217" s="67"/>
      <c r="R217" s="67"/>
    </row>
    <row r="218" spans="1:18" s="65" customFormat="1" ht="13.2">
      <c r="A218" s="66"/>
      <c r="C218" s="67"/>
      <c r="D218" s="67"/>
      <c r="E218" s="68"/>
      <c r="F218" s="69"/>
      <c r="G218" s="69"/>
      <c r="H218" s="69"/>
      <c r="I218" s="67"/>
      <c r="K218" s="67"/>
      <c r="L218" s="67"/>
      <c r="M218" s="67"/>
      <c r="N218" s="67"/>
      <c r="O218" s="67"/>
      <c r="P218" s="67"/>
      <c r="Q218" s="67"/>
      <c r="R218" s="67"/>
    </row>
    <row r="219" spans="1:18" s="65" customFormat="1" ht="13.2">
      <c r="A219" s="66"/>
      <c r="C219" s="67"/>
      <c r="D219" s="67"/>
      <c r="E219" s="68"/>
      <c r="F219" s="69"/>
      <c r="G219" s="69"/>
      <c r="H219" s="69"/>
      <c r="I219" s="67"/>
      <c r="K219" s="67"/>
      <c r="L219" s="67"/>
      <c r="M219" s="67"/>
      <c r="N219" s="67"/>
      <c r="O219" s="67"/>
      <c r="P219" s="67"/>
      <c r="Q219" s="67"/>
      <c r="R219" s="67"/>
    </row>
    <row r="220" spans="1:18" s="65" customFormat="1" ht="13.2">
      <c r="A220" s="72"/>
      <c r="C220" s="67"/>
      <c r="D220" s="67"/>
      <c r="E220" s="68"/>
      <c r="F220" s="69"/>
      <c r="G220" s="69"/>
      <c r="H220" s="69"/>
      <c r="I220" s="67"/>
      <c r="K220" s="67"/>
      <c r="L220" s="67"/>
      <c r="M220" s="67"/>
      <c r="N220" s="67"/>
      <c r="O220" s="67"/>
      <c r="P220" s="67"/>
      <c r="Q220" s="67"/>
      <c r="R220" s="67"/>
    </row>
    <row r="221" spans="1:18" s="65" customFormat="1" ht="13.2">
      <c r="A221" s="66"/>
      <c r="C221" s="67"/>
      <c r="D221" s="67"/>
      <c r="E221" s="68"/>
      <c r="F221" s="69"/>
      <c r="G221" s="69"/>
      <c r="H221" s="69"/>
      <c r="I221" s="67"/>
      <c r="K221" s="67"/>
      <c r="L221" s="67"/>
      <c r="M221" s="67"/>
      <c r="N221" s="67"/>
      <c r="O221" s="67"/>
      <c r="P221" s="67"/>
      <c r="Q221" s="67"/>
      <c r="R221" s="67"/>
    </row>
    <row r="222" spans="1:18" s="65" customFormat="1" ht="13.2">
      <c r="A222" s="73"/>
      <c r="C222" s="67"/>
      <c r="D222" s="67"/>
      <c r="E222" s="68"/>
      <c r="F222" s="69"/>
      <c r="G222" s="69"/>
      <c r="H222" s="69"/>
      <c r="I222" s="67"/>
      <c r="K222" s="67"/>
      <c r="L222" s="67"/>
      <c r="M222" s="67"/>
      <c r="N222" s="67"/>
      <c r="O222" s="67"/>
      <c r="P222" s="67"/>
      <c r="Q222" s="67"/>
      <c r="R222" s="67"/>
    </row>
    <row r="223" spans="1:18" s="65" customFormat="1" ht="13.2">
      <c r="A223" s="73"/>
      <c r="C223" s="67"/>
      <c r="D223" s="67"/>
      <c r="E223" s="68"/>
      <c r="F223" s="69"/>
      <c r="G223" s="69"/>
      <c r="H223" s="69"/>
      <c r="I223" s="67"/>
      <c r="K223" s="67"/>
      <c r="L223" s="67"/>
      <c r="M223" s="67"/>
      <c r="N223" s="67"/>
      <c r="O223" s="67"/>
      <c r="P223" s="67"/>
      <c r="Q223" s="67"/>
      <c r="R223" s="67"/>
    </row>
    <row r="224" spans="1:18" s="65" customFormat="1" ht="13.2">
      <c r="A224" s="66"/>
      <c r="C224" s="67"/>
      <c r="D224" s="67"/>
      <c r="E224" s="68"/>
      <c r="F224" s="69"/>
      <c r="G224" s="69"/>
      <c r="H224" s="69"/>
      <c r="I224" s="67"/>
      <c r="K224" s="67"/>
      <c r="L224" s="67"/>
      <c r="M224" s="67"/>
      <c r="N224" s="67"/>
      <c r="O224" s="67"/>
      <c r="P224" s="67"/>
      <c r="Q224" s="67"/>
      <c r="R224" s="67"/>
    </row>
    <row r="225" spans="1:18" s="65" customFormat="1" ht="13.2">
      <c r="A225" s="73"/>
      <c r="C225" s="67"/>
      <c r="D225" s="67"/>
      <c r="E225" s="68"/>
      <c r="F225" s="69"/>
      <c r="G225" s="69"/>
      <c r="H225" s="69"/>
      <c r="I225" s="67"/>
      <c r="K225" s="67"/>
      <c r="L225" s="67"/>
      <c r="M225" s="67"/>
      <c r="N225" s="67"/>
      <c r="O225" s="67"/>
      <c r="P225" s="67"/>
      <c r="Q225" s="67"/>
      <c r="R225" s="67"/>
    </row>
    <row r="226" spans="1:18" s="65" customFormat="1" ht="13.2">
      <c r="A226" s="147"/>
      <c r="C226" s="67"/>
      <c r="D226" s="67"/>
      <c r="E226" s="68"/>
      <c r="F226" s="69"/>
      <c r="G226" s="69"/>
      <c r="H226" s="69"/>
      <c r="I226" s="67"/>
      <c r="K226" s="67"/>
      <c r="L226" s="67"/>
      <c r="M226" s="67"/>
      <c r="N226" s="67"/>
      <c r="O226" s="67"/>
      <c r="P226" s="67"/>
      <c r="Q226" s="67"/>
      <c r="R226" s="67"/>
    </row>
    <row r="227" spans="1:18" s="65" customFormat="1" ht="13.2">
      <c r="A227" s="71"/>
      <c r="C227" s="67"/>
      <c r="D227" s="67"/>
      <c r="E227" s="68"/>
      <c r="F227" s="69"/>
      <c r="G227" s="69"/>
      <c r="H227" s="69"/>
      <c r="I227" s="67"/>
      <c r="K227" s="67"/>
      <c r="L227" s="67"/>
      <c r="M227" s="67"/>
      <c r="N227" s="67"/>
      <c r="O227" s="67"/>
      <c r="P227" s="67"/>
      <c r="Q227" s="67"/>
      <c r="R227" s="67"/>
    </row>
    <row r="228" spans="1:18" s="65" customFormat="1" ht="13.2">
      <c r="A228" s="66"/>
      <c r="C228" s="67"/>
      <c r="D228" s="67"/>
      <c r="E228" s="68"/>
      <c r="F228" s="69"/>
      <c r="G228" s="69"/>
      <c r="H228" s="69"/>
      <c r="I228" s="67"/>
      <c r="K228" s="67"/>
      <c r="L228" s="67"/>
      <c r="M228" s="67"/>
      <c r="N228" s="67"/>
      <c r="O228" s="67"/>
      <c r="P228" s="67"/>
      <c r="Q228" s="67"/>
      <c r="R228" s="67"/>
    </row>
    <row r="229" spans="1:18" s="65" customFormat="1" ht="13.2">
      <c r="A229" s="66"/>
      <c r="C229" s="67"/>
      <c r="D229" s="67"/>
      <c r="E229" s="68"/>
      <c r="F229" s="69"/>
      <c r="G229" s="69"/>
      <c r="H229" s="69"/>
      <c r="I229" s="67"/>
      <c r="K229" s="67"/>
      <c r="L229" s="67"/>
      <c r="M229" s="67"/>
      <c r="N229" s="67"/>
      <c r="O229" s="67"/>
      <c r="P229" s="67"/>
      <c r="Q229" s="67"/>
      <c r="R229" s="67"/>
    </row>
    <row r="230" spans="1:18" s="65" customFormat="1" ht="13.2">
      <c r="A230" s="66"/>
      <c r="C230" s="67"/>
      <c r="D230" s="67"/>
      <c r="E230" s="68"/>
      <c r="F230" s="69"/>
      <c r="G230" s="69"/>
      <c r="H230" s="69"/>
      <c r="I230" s="67"/>
      <c r="K230" s="67"/>
      <c r="L230" s="67"/>
      <c r="M230" s="67"/>
      <c r="N230" s="67"/>
      <c r="O230" s="67"/>
      <c r="P230" s="67"/>
      <c r="Q230" s="67"/>
      <c r="R230" s="67"/>
    </row>
    <row r="231" spans="1:18" s="65" customFormat="1" ht="13.2">
      <c r="A231" s="66"/>
      <c r="C231" s="67"/>
      <c r="D231" s="67"/>
      <c r="E231" s="68"/>
      <c r="F231" s="69"/>
      <c r="G231" s="69"/>
      <c r="H231" s="69"/>
      <c r="I231" s="67"/>
      <c r="K231" s="67"/>
      <c r="L231" s="67"/>
      <c r="M231" s="67"/>
      <c r="N231" s="67"/>
      <c r="O231" s="67"/>
      <c r="P231" s="67"/>
      <c r="Q231" s="67"/>
      <c r="R231" s="67"/>
    </row>
    <row r="232" spans="1:18" s="65" customFormat="1" ht="13.2">
      <c r="A232" s="66"/>
      <c r="C232" s="67"/>
      <c r="D232" s="67"/>
      <c r="E232" s="68"/>
      <c r="F232" s="69"/>
      <c r="G232" s="69"/>
      <c r="H232" s="69"/>
      <c r="I232" s="67"/>
      <c r="K232" s="67"/>
      <c r="L232" s="67"/>
      <c r="M232" s="67"/>
      <c r="N232" s="67"/>
      <c r="O232" s="67"/>
      <c r="P232" s="67"/>
      <c r="Q232" s="67"/>
      <c r="R232" s="67"/>
    </row>
    <row r="233" spans="1:18" s="65" customFormat="1" ht="13.2">
      <c r="A233" s="66"/>
      <c r="C233" s="67"/>
      <c r="D233" s="67"/>
      <c r="E233" s="68"/>
      <c r="F233" s="69"/>
      <c r="G233" s="69"/>
      <c r="H233" s="69"/>
      <c r="I233" s="67"/>
      <c r="K233" s="67"/>
      <c r="L233" s="67"/>
      <c r="M233" s="67"/>
      <c r="N233" s="67"/>
      <c r="O233" s="67"/>
      <c r="P233" s="67"/>
      <c r="Q233" s="67"/>
      <c r="R233" s="67"/>
    </row>
    <row r="234" spans="1:18" s="65" customFormat="1" ht="13.2">
      <c r="A234" s="66"/>
      <c r="C234" s="67"/>
      <c r="D234" s="67"/>
      <c r="E234" s="68"/>
      <c r="F234" s="69"/>
      <c r="G234" s="69"/>
      <c r="H234" s="69"/>
      <c r="I234" s="67"/>
      <c r="K234" s="67"/>
      <c r="L234" s="67"/>
      <c r="M234" s="67"/>
      <c r="N234" s="67"/>
      <c r="O234" s="67"/>
      <c r="P234" s="67"/>
      <c r="Q234" s="67"/>
      <c r="R234" s="67"/>
    </row>
    <row r="235" spans="1:18" s="65" customFormat="1" ht="13.2">
      <c r="A235" s="66"/>
      <c r="C235" s="67"/>
      <c r="D235" s="67"/>
      <c r="E235" s="68"/>
      <c r="F235" s="69"/>
      <c r="G235" s="69"/>
      <c r="H235" s="69"/>
      <c r="I235" s="67"/>
      <c r="K235" s="67"/>
      <c r="L235" s="67"/>
      <c r="M235" s="67"/>
      <c r="N235" s="67"/>
      <c r="O235" s="67"/>
      <c r="P235" s="67"/>
      <c r="Q235" s="67"/>
      <c r="R235" s="67"/>
    </row>
    <row r="236" spans="1:18" s="65" customFormat="1" ht="13.2">
      <c r="A236" s="66"/>
      <c r="C236" s="67"/>
      <c r="D236" s="67"/>
      <c r="E236" s="68"/>
      <c r="F236" s="69"/>
      <c r="G236" s="69"/>
      <c r="H236" s="69"/>
      <c r="I236" s="67"/>
      <c r="K236" s="67"/>
      <c r="L236" s="67"/>
      <c r="M236" s="67"/>
      <c r="N236" s="67"/>
      <c r="O236" s="67"/>
      <c r="P236" s="67"/>
      <c r="Q236" s="67"/>
      <c r="R236" s="67"/>
    </row>
    <row r="237" spans="1:18" s="65" customFormat="1" ht="13.2">
      <c r="A237" s="66"/>
      <c r="C237" s="67"/>
      <c r="D237" s="67"/>
      <c r="E237" s="68"/>
      <c r="F237" s="69"/>
      <c r="G237" s="69"/>
      <c r="H237" s="69"/>
      <c r="I237" s="67"/>
      <c r="K237" s="67"/>
      <c r="L237" s="67"/>
      <c r="M237" s="67"/>
      <c r="N237" s="67"/>
      <c r="O237" s="67"/>
      <c r="P237" s="67"/>
      <c r="Q237" s="67"/>
      <c r="R237" s="67"/>
    </row>
    <row r="238" spans="1:18" s="65" customFormat="1" ht="13.2">
      <c r="A238" s="66"/>
      <c r="C238" s="67"/>
      <c r="D238" s="67"/>
      <c r="E238" s="68"/>
      <c r="F238" s="69"/>
      <c r="G238" s="69"/>
      <c r="H238" s="69"/>
      <c r="I238" s="67"/>
      <c r="K238" s="67"/>
      <c r="L238" s="67"/>
      <c r="M238" s="67"/>
      <c r="N238" s="67"/>
      <c r="O238" s="67"/>
      <c r="P238" s="67"/>
      <c r="Q238" s="67"/>
      <c r="R238" s="67"/>
    </row>
    <row r="239" spans="1:18" s="65" customFormat="1" ht="13.2">
      <c r="A239" s="66"/>
      <c r="C239" s="67"/>
      <c r="D239" s="67"/>
      <c r="E239" s="68"/>
      <c r="F239" s="69"/>
      <c r="G239" s="69"/>
      <c r="H239" s="69"/>
      <c r="I239" s="67"/>
      <c r="K239" s="67"/>
      <c r="L239" s="67"/>
      <c r="M239" s="67"/>
      <c r="N239" s="67"/>
      <c r="O239" s="67"/>
      <c r="P239" s="67"/>
      <c r="Q239" s="67"/>
      <c r="R239" s="67"/>
    </row>
    <row r="240" spans="1:18" s="65" customFormat="1" ht="13.2">
      <c r="A240" s="66"/>
      <c r="C240" s="67"/>
      <c r="D240" s="67"/>
      <c r="E240" s="68"/>
      <c r="F240" s="69"/>
      <c r="G240" s="69"/>
      <c r="H240" s="69"/>
      <c r="I240" s="67"/>
      <c r="K240" s="67"/>
      <c r="L240" s="67"/>
      <c r="M240" s="67"/>
      <c r="N240" s="67"/>
      <c r="O240" s="67"/>
      <c r="P240" s="67"/>
      <c r="Q240" s="67"/>
      <c r="R240" s="67"/>
    </row>
    <row r="241" spans="1:18" s="65" customFormat="1" ht="13.2">
      <c r="A241" s="66"/>
      <c r="C241" s="67"/>
      <c r="D241" s="67"/>
      <c r="E241" s="68"/>
      <c r="F241" s="69"/>
      <c r="G241" s="69"/>
      <c r="H241" s="69"/>
      <c r="I241" s="67"/>
      <c r="K241" s="67"/>
      <c r="L241" s="67"/>
      <c r="M241" s="67"/>
      <c r="N241" s="67"/>
      <c r="O241" s="67"/>
      <c r="P241" s="67"/>
      <c r="Q241" s="67"/>
      <c r="R241" s="67"/>
    </row>
    <row r="242" spans="1:18" s="65" customFormat="1" ht="13.2">
      <c r="A242" s="66"/>
      <c r="C242" s="67"/>
      <c r="D242" s="67"/>
      <c r="E242" s="68"/>
      <c r="F242" s="69"/>
      <c r="G242" s="69"/>
      <c r="H242" s="69"/>
      <c r="I242" s="67"/>
      <c r="K242" s="67"/>
      <c r="L242" s="67"/>
      <c r="M242" s="67"/>
      <c r="N242" s="67"/>
      <c r="O242" s="67"/>
      <c r="P242" s="67"/>
      <c r="Q242" s="67"/>
      <c r="R242" s="67"/>
    </row>
    <row r="243" spans="1:18" s="65" customFormat="1" ht="13.2">
      <c r="A243" s="66"/>
      <c r="C243" s="67"/>
      <c r="D243" s="67"/>
      <c r="E243" s="68"/>
      <c r="F243" s="69"/>
      <c r="G243" s="69"/>
      <c r="H243" s="69"/>
      <c r="I243" s="67"/>
      <c r="K243" s="67"/>
      <c r="L243" s="67"/>
      <c r="M243" s="67"/>
      <c r="N243" s="67"/>
      <c r="O243" s="67"/>
      <c r="P243" s="67"/>
      <c r="Q243" s="67"/>
      <c r="R243" s="67"/>
    </row>
    <row r="244" spans="1:18" s="65" customFormat="1" ht="13.2">
      <c r="A244" s="66"/>
      <c r="C244" s="67"/>
      <c r="D244" s="67"/>
      <c r="E244" s="68"/>
      <c r="F244" s="69"/>
      <c r="G244" s="69"/>
      <c r="H244" s="69"/>
      <c r="I244" s="67"/>
      <c r="K244" s="67"/>
      <c r="L244" s="67"/>
      <c r="M244" s="67"/>
      <c r="N244" s="67"/>
      <c r="O244" s="67"/>
      <c r="P244" s="67"/>
      <c r="Q244" s="67"/>
      <c r="R244" s="67"/>
    </row>
    <row r="245" spans="1:18" s="65" customFormat="1" ht="13.2">
      <c r="A245" s="66"/>
      <c r="C245" s="67"/>
      <c r="D245" s="67"/>
      <c r="E245" s="68"/>
      <c r="F245" s="69"/>
      <c r="G245" s="69"/>
      <c r="H245" s="69"/>
      <c r="I245" s="67"/>
      <c r="K245" s="67"/>
      <c r="L245" s="67"/>
      <c r="M245" s="67"/>
      <c r="N245" s="67"/>
      <c r="O245" s="67"/>
      <c r="P245" s="67"/>
      <c r="Q245" s="67"/>
      <c r="R245" s="67"/>
    </row>
    <row r="246" spans="1:18" s="65" customFormat="1" ht="13.2">
      <c r="A246" s="66"/>
      <c r="C246" s="67"/>
      <c r="D246" s="67"/>
      <c r="E246" s="68"/>
      <c r="F246" s="69"/>
      <c r="G246" s="69"/>
      <c r="H246" s="69"/>
      <c r="I246" s="67"/>
      <c r="K246" s="67"/>
      <c r="L246" s="67"/>
      <c r="M246" s="67"/>
      <c r="N246" s="67"/>
      <c r="O246" s="67"/>
      <c r="P246" s="67"/>
      <c r="Q246" s="67"/>
      <c r="R246" s="67"/>
    </row>
    <row r="247" spans="1:18" s="65" customFormat="1" ht="13.2">
      <c r="A247" s="66"/>
      <c r="C247" s="67"/>
      <c r="D247" s="67"/>
      <c r="E247" s="68"/>
      <c r="F247" s="69"/>
      <c r="G247" s="69"/>
      <c r="H247" s="69"/>
      <c r="I247" s="67"/>
      <c r="K247" s="67"/>
      <c r="L247" s="67"/>
      <c r="M247" s="67"/>
      <c r="N247" s="67"/>
      <c r="O247" s="67"/>
      <c r="P247" s="67"/>
      <c r="Q247" s="67"/>
      <c r="R247" s="67"/>
    </row>
    <row r="248" spans="1:18" s="65" customFormat="1" ht="13.2">
      <c r="A248" s="66"/>
      <c r="C248" s="67"/>
      <c r="D248" s="67"/>
      <c r="E248" s="68"/>
      <c r="F248" s="69"/>
      <c r="G248" s="69"/>
      <c r="H248" s="69"/>
      <c r="I248" s="67"/>
      <c r="K248" s="67"/>
      <c r="L248" s="67"/>
      <c r="M248" s="67"/>
      <c r="N248" s="67"/>
      <c r="O248" s="67"/>
      <c r="P248" s="67"/>
      <c r="Q248" s="67"/>
      <c r="R248" s="67"/>
    </row>
    <row r="249" spans="1:18" s="65" customFormat="1" ht="13.2">
      <c r="A249" s="66"/>
      <c r="C249" s="67"/>
      <c r="D249" s="67"/>
      <c r="E249" s="68"/>
      <c r="F249" s="69"/>
      <c r="G249" s="69"/>
      <c r="H249" s="69"/>
      <c r="I249" s="67"/>
      <c r="K249" s="67"/>
      <c r="L249" s="67"/>
      <c r="M249" s="67"/>
      <c r="N249" s="67"/>
      <c r="O249" s="67"/>
      <c r="P249" s="67"/>
      <c r="Q249" s="67"/>
      <c r="R249" s="67"/>
    </row>
    <row r="250" spans="1:18" s="65" customFormat="1" ht="13.2">
      <c r="A250" s="66"/>
      <c r="C250" s="67"/>
      <c r="D250" s="67"/>
      <c r="E250" s="68"/>
      <c r="F250" s="69"/>
      <c r="G250" s="69"/>
      <c r="H250" s="69"/>
      <c r="I250" s="67"/>
      <c r="K250" s="67"/>
      <c r="L250" s="67"/>
      <c r="M250" s="67"/>
      <c r="N250" s="67"/>
      <c r="O250" s="67"/>
      <c r="P250" s="67"/>
      <c r="Q250" s="67"/>
      <c r="R250" s="67"/>
    </row>
    <row r="251" spans="1:18" s="65" customFormat="1" ht="13.2">
      <c r="A251" s="66"/>
      <c r="C251" s="67"/>
      <c r="D251" s="67"/>
      <c r="E251" s="68"/>
      <c r="F251" s="69"/>
      <c r="G251" s="69"/>
      <c r="H251" s="69"/>
      <c r="I251" s="67"/>
      <c r="K251" s="67"/>
      <c r="L251" s="67"/>
      <c r="M251" s="67"/>
      <c r="N251" s="67"/>
      <c r="O251" s="67"/>
      <c r="P251" s="67"/>
      <c r="Q251" s="67"/>
      <c r="R251" s="67"/>
    </row>
    <row r="252" spans="1:18" s="65" customFormat="1" ht="13.2">
      <c r="A252" s="66"/>
      <c r="C252" s="67"/>
      <c r="D252" s="67"/>
      <c r="E252" s="68"/>
      <c r="F252" s="69"/>
      <c r="G252" s="69"/>
      <c r="H252" s="69"/>
      <c r="I252" s="67"/>
      <c r="K252" s="67"/>
      <c r="L252" s="67"/>
      <c r="M252" s="67"/>
      <c r="N252" s="67"/>
      <c r="O252" s="67"/>
      <c r="P252" s="67"/>
      <c r="Q252" s="67"/>
      <c r="R252" s="67"/>
    </row>
    <row r="253" spans="1:18" s="65" customFormat="1" ht="13.2">
      <c r="A253" s="66"/>
      <c r="C253" s="67"/>
      <c r="D253" s="67"/>
      <c r="E253" s="68"/>
      <c r="F253" s="69"/>
      <c r="G253" s="69"/>
      <c r="H253" s="69"/>
      <c r="I253" s="67"/>
      <c r="K253" s="67"/>
      <c r="L253" s="67"/>
      <c r="M253" s="67"/>
      <c r="N253" s="67"/>
      <c r="O253" s="67"/>
      <c r="P253" s="67"/>
      <c r="Q253" s="67"/>
      <c r="R253" s="67"/>
    </row>
    <row r="254" spans="1:18" s="65" customFormat="1" ht="13.2">
      <c r="A254" s="66"/>
      <c r="C254" s="67"/>
      <c r="D254" s="67"/>
      <c r="E254" s="68"/>
      <c r="F254" s="69"/>
      <c r="G254" s="69"/>
      <c r="H254" s="69"/>
      <c r="I254" s="67"/>
      <c r="K254" s="67"/>
      <c r="L254" s="67"/>
      <c r="M254" s="67"/>
      <c r="N254" s="67"/>
      <c r="O254" s="67"/>
      <c r="P254" s="67"/>
      <c r="Q254" s="67"/>
      <c r="R254" s="67"/>
    </row>
    <row r="255" spans="1:18" s="65" customFormat="1" ht="13.2">
      <c r="A255" s="66"/>
      <c r="C255" s="67"/>
      <c r="D255" s="67"/>
      <c r="E255" s="68"/>
      <c r="F255" s="69"/>
      <c r="G255" s="69"/>
      <c r="H255" s="69"/>
      <c r="I255" s="67"/>
      <c r="K255" s="67"/>
      <c r="L255" s="67"/>
      <c r="M255" s="67"/>
      <c r="N255" s="67"/>
      <c r="O255" s="67"/>
      <c r="P255" s="67"/>
      <c r="Q255" s="67"/>
      <c r="R255" s="67"/>
    </row>
    <row r="256" spans="1:18" s="65" customFormat="1" ht="13.2">
      <c r="A256" s="66"/>
      <c r="C256" s="67"/>
      <c r="D256" s="67"/>
      <c r="E256" s="68"/>
      <c r="F256" s="69"/>
      <c r="G256" s="69"/>
      <c r="H256" s="69"/>
      <c r="I256" s="67"/>
      <c r="K256" s="67"/>
      <c r="L256" s="67"/>
      <c r="M256" s="67"/>
      <c r="N256" s="67"/>
      <c r="O256" s="67"/>
      <c r="P256" s="67"/>
      <c r="Q256" s="67"/>
      <c r="R256" s="67"/>
    </row>
    <row r="257" spans="1:18" s="65" customFormat="1" ht="13.2">
      <c r="A257" s="66"/>
      <c r="C257" s="67"/>
      <c r="D257" s="67"/>
      <c r="E257" s="68"/>
      <c r="F257" s="69"/>
      <c r="G257" s="69"/>
      <c r="H257" s="69"/>
      <c r="I257" s="67"/>
      <c r="K257" s="67"/>
      <c r="L257" s="67"/>
      <c r="M257" s="67"/>
      <c r="N257" s="67"/>
      <c r="O257" s="67"/>
      <c r="P257" s="67"/>
      <c r="Q257" s="67"/>
      <c r="R257" s="67"/>
    </row>
    <row r="258" spans="1:18" s="65" customFormat="1" ht="13.2">
      <c r="A258" s="66"/>
      <c r="C258" s="67"/>
      <c r="D258" s="67"/>
      <c r="E258" s="68"/>
      <c r="F258" s="69"/>
      <c r="G258" s="69"/>
      <c r="H258" s="69"/>
      <c r="I258" s="67"/>
      <c r="K258" s="67"/>
      <c r="L258" s="67"/>
      <c r="M258" s="67"/>
      <c r="N258" s="67"/>
      <c r="O258" s="67"/>
      <c r="P258" s="67"/>
      <c r="Q258" s="67"/>
      <c r="R258" s="67"/>
    </row>
    <row r="259" spans="1:18" s="65" customFormat="1" ht="13.2">
      <c r="A259" s="66"/>
      <c r="C259" s="67"/>
      <c r="D259" s="67"/>
      <c r="E259" s="68"/>
      <c r="F259" s="69"/>
      <c r="G259" s="69"/>
      <c r="H259" s="69"/>
      <c r="I259" s="67"/>
      <c r="K259" s="67"/>
      <c r="L259" s="67"/>
      <c r="M259" s="67"/>
      <c r="N259" s="67"/>
      <c r="O259" s="67"/>
      <c r="P259" s="67"/>
      <c r="Q259" s="67"/>
      <c r="R259" s="67"/>
    </row>
    <row r="260" spans="1:18" s="65" customFormat="1" ht="13.2">
      <c r="A260" s="66"/>
      <c r="C260" s="67"/>
      <c r="D260" s="67"/>
      <c r="E260" s="68"/>
      <c r="F260" s="69"/>
      <c r="G260" s="69"/>
      <c r="H260" s="69"/>
      <c r="I260" s="67"/>
      <c r="K260" s="67"/>
      <c r="L260" s="67"/>
      <c r="M260" s="67"/>
      <c r="N260" s="67"/>
      <c r="O260" s="67"/>
      <c r="P260" s="67"/>
      <c r="Q260" s="67"/>
      <c r="R260" s="67"/>
    </row>
    <row r="261" spans="1:18" s="65" customFormat="1" ht="13.2">
      <c r="A261" s="66"/>
      <c r="C261" s="67"/>
      <c r="D261" s="67"/>
      <c r="E261" s="68"/>
      <c r="F261" s="69"/>
      <c r="G261" s="69"/>
      <c r="H261" s="69"/>
      <c r="I261" s="67"/>
      <c r="K261" s="67"/>
      <c r="L261" s="67"/>
      <c r="M261" s="67"/>
      <c r="N261" s="67"/>
      <c r="O261" s="67"/>
      <c r="P261" s="67"/>
      <c r="Q261" s="67"/>
      <c r="R261" s="67"/>
    </row>
    <row r="262" spans="1:18" s="65" customFormat="1" ht="13.2">
      <c r="A262" s="66"/>
      <c r="C262" s="67"/>
      <c r="D262" s="67"/>
      <c r="E262" s="68"/>
      <c r="F262" s="69"/>
      <c r="G262" s="69"/>
      <c r="H262" s="69"/>
      <c r="I262" s="67"/>
      <c r="K262" s="67"/>
      <c r="L262" s="67"/>
      <c r="M262" s="67"/>
      <c r="N262" s="67"/>
      <c r="O262" s="67"/>
      <c r="P262" s="67"/>
      <c r="Q262" s="67"/>
      <c r="R262" s="67"/>
    </row>
    <row r="263" spans="1:18" s="65" customFormat="1" ht="13.2">
      <c r="A263" s="66"/>
      <c r="C263" s="67"/>
      <c r="D263" s="67"/>
      <c r="E263" s="68"/>
      <c r="F263" s="69"/>
      <c r="G263" s="69"/>
      <c r="H263" s="69"/>
      <c r="I263" s="67"/>
      <c r="K263" s="67"/>
      <c r="L263" s="67"/>
      <c r="M263" s="67"/>
      <c r="N263" s="67"/>
      <c r="O263" s="67"/>
      <c r="P263" s="67"/>
      <c r="Q263" s="67"/>
      <c r="R263" s="67"/>
    </row>
    <row r="264" spans="1:18" s="65" customFormat="1" ht="13.2">
      <c r="A264" s="66"/>
      <c r="C264" s="67"/>
      <c r="D264" s="67"/>
      <c r="E264" s="68"/>
      <c r="F264" s="69"/>
      <c r="G264" s="69"/>
      <c r="H264" s="69"/>
      <c r="I264" s="67"/>
      <c r="K264" s="67"/>
      <c r="L264" s="67"/>
      <c r="M264" s="67"/>
      <c r="N264" s="67"/>
      <c r="O264" s="67"/>
      <c r="P264" s="67"/>
      <c r="Q264" s="67"/>
      <c r="R264" s="67"/>
    </row>
    <row r="265" spans="1:18" s="65" customFormat="1" ht="13.2">
      <c r="A265" s="66"/>
      <c r="C265" s="67"/>
      <c r="D265" s="67"/>
      <c r="E265" s="68"/>
      <c r="F265" s="69"/>
      <c r="G265" s="69"/>
      <c r="H265" s="69"/>
      <c r="I265" s="67"/>
      <c r="K265" s="67"/>
      <c r="L265" s="67"/>
      <c r="M265" s="67"/>
      <c r="N265" s="67"/>
      <c r="O265" s="67"/>
      <c r="P265" s="67"/>
      <c r="Q265" s="67"/>
      <c r="R265" s="67"/>
    </row>
    <row r="266" spans="1:18" s="65" customFormat="1" ht="13.2">
      <c r="A266" s="66"/>
      <c r="C266" s="67"/>
      <c r="D266" s="67"/>
      <c r="E266" s="68"/>
      <c r="F266" s="69"/>
      <c r="G266" s="69"/>
      <c r="H266" s="69"/>
      <c r="I266" s="67"/>
      <c r="K266" s="67"/>
      <c r="L266" s="67"/>
      <c r="M266" s="67"/>
      <c r="N266" s="67"/>
      <c r="O266" s="67"/>
      <c r="P266" s="67"/>
      <c r="Q266" s="67"/>
      <c r="R266" s="67"/>
    </row>
    <row r="267" spans="1:18" s="65" customFormat="1" ht="13.2">
      <c r="A267" s="66"/>
      <c r="C267" s="67"/>
      <c r="D267" s="67"/>
      <c r="E267" s="68"/>
      <c r="F267" s="69"/>
      <c r="G267" s="69"/>
      <c r="H267" s="69"/>
      <c r="I267" s="67"/>
      <c r="K267" s="67"/>
      <c r="L267" s="67"/>
      <c r="M267" s="67"/>
      <c r="N267" s="67"/>
      <c r="O267" s="67"/>
      <c r="P267" s="67"/>
      <c r="Q267" s="67"/>
      <c r="R267" s="67"/>
    </row>
    <row r="268" spans="1:18" s="65" customFormat="1" ht="13.2">
      <c r="A268" s="66"/>
      <c r="C268" s="67"/>
      <c r="D268" s="67"/>
      <c r="E268" s="68"/>
      <c r="F268" s="69"/>
      <c r="G268" s="69"/>
      <c r="H268" s="69"/>
      <c r="I268" s="67"/>
      <c r="K268" s="67"/>
      <c r="L268" s="67"/>
      <c r="M268" s="67"/>
      <c r="N268" s="67"/>
      <c r="O268" s="67"/>
      <c r="P268" s="67"/>
      <c r="Q268" s="67"/>
      <c r="R268" s="67"/>
    </row>
    <row r="269" spans="1:18" s="65" customFormat="1" ht="13.2">
      <c r="A269" s="66"/>
      <c r="C269" s="67"/>
      <c r="D269" s="67"/>
      <c r="E269" s="68"/>
      <c r="F269" s="69"/>
      <c r="G269" s="69"/>
      <c r="H269" s="69"/>
      <c r="I269" s="67"/>
      <c r="K269" s="67"/>
      <c r="L269" s="67"/>
      <c r="M269" s="67"/>
      <c r="N269" s="67"/>
      <c r="O269" s="67"/>
      <c r="P269" s="67"/>
      <c r="Q269" s="67"/>
      <c r="R269" s="67"/>
    </row>
    <row r="270" spans="1:18" s="65" customFormat="1" ht="13.2">
      <c r="A270" s="66"/>
      <c r="C270" s="67"/>
      <c r="D270" s="67"/>
      <c r="E270" s="68"/>
      <c r="F270" s="69"/>
      <c r="G270" s="69"/>
      <c r="H270" s="69"/>
      <c r="I270" s="67"/>
      <c r="K270" s="67"/>
      <c r="L270" s="67"/>
      <c r="M270" s="67"/>
      <c r="N270" s="67"/>
      <c r="O270" s="67"/>
      <c r="P270" s="67"/>
      <c r="Q270" s="67"/>
      <c r="R270" s="67"/>
    </row>
    <row r="271" spans="1:18" s="65" customFormat="1" ht="13.2">
      <c r="A271" s="66"/>
      <c r="C271" s="67"/>
      <c r="D271" s="67"/>
      <c r="E271" s="68"/>
      <c r="F271" s="69"/>
      <c r="G271" s="69"/>
      <c r="H271" s="69"/>
      <c r="I271" s="67"/>
      <c r="K271" s="67"/>
      <c r="L271" s="67"/>
      <c r="M271" s="67"/>
      <c r="N271" s="67"/>
      <c r="O271" s="67"/>
      <c r="P271" s="67"/>
      <c r="Q271" s="67"/>
      <c r="R271" s="67"/>
    </row>
    <row r="272" spans="1:18" s="65" customFormat="1" ht="13.2">
      <c r="A272" s="66"/>
      <c r="C272" s="67"/>
      <c r="D272" s="67"/>
      <c r="E272" s="68"/>
      <c r="F272" s="69"/>
      <c r="G272" s="69"/>
      <c r="H272" s="69"/>
      <c r="I272" s="67"/>
      <c r="K272" s="67"/>
      <c r="L272" s="67"/>
      <c r="M272" s="67"/>
      <c r="N272" s="67"/>
      <c r="O272" s="67"/>
      <c r="P272" s="67"/>
      <c r="Q272" s="67"/>
      <c r="R272" s="67"/>
    </row>
    <row r="273" spans="1:18" s="65" customFormat="1" ht="13.2">
      <c r="A273" s="66"/>
      <c r="C273" s="67"/>
      <c r="D273" s="67"/>
      <c r="E273" s="68"/>
      <c r="F273" s="69"/>
      <c r="G273" s="69"/>
      <c r="H273" s="69"/>
      <c r="I273" s="67"/>
      <c r="K273" s="67"/>
      <c r="L273" s="67"/>
      <c r="M273" s="67"/>
      <c r="N273" s="67"/>
      <c r="O273" s="67"/>
      <c r="P273" s="67"/>
      <c r="Q273" s="67"/>
      <c r="R273" s="67"/>
    </row>
    <row r="274" spans="1:18" s="65" customFormat="1" ht="13.2">
      <c r="A274" s="66"/>
      <c r="C274" s="67"/>
      <c r="D274" s="67"/>
      <c r="E274" s="68"/>
      <c r="F274" s="69"/>
      <c r="G274" s="69"/>
      <c r="H274" s="69"/>
      <c r="I274" s="67"/>
      <c r="K274" s="67"/>
      <c r="L274" s="67"/>
      <c r="M274" s="67"/>
      <c r="N274" s="67"/>
      <c r="O274" s="67"/>
      <c r="P274" s="67"/>
      <c r="Q274" s="67"/>
      <c r="R274" s="67"/>
    </row>
    <row r="275" spans="1:18" s="65" customFormat="1" ht="13.2">
      <c r="A275" s="66"/>
      <c r="C275" s="67"/>
      <c r="D275" s="67"/>
      <c r="E275" s="68"/>
      <c r="F275" s="69"/>
      <c r="G275" s="69"/>
      <c r="H275" s="69"/>
      <c r="I275" s="67"/>
      <c r="K275" s="67"/>
      <c r="L275" s="67"/>
      <c r="M275" s="67"/>
      <c r="N275" s="67"/>
      <c r="O275" s="67"/>
      <c r="P275" s="67"/>
      <c r="Q275" s="67"/>
      <c r="R275" s="67"/>
    </row>
    <row r="276" spans="1:18" s="65" customFormat="1" ht="13.2">
      <c r="A276" s="66"/>
      <c r="C276" s="67"/>
      <c r="D276" s="67"/>
      <c r="E276" s="68"/>
      <c r="F276" s="69"/>
      <c r="G276" s="69"/>
      <c r="H276" s="69"/>
      <c r="I276" s="67"/>
      <c r="K276" s="67"/>
      <c r="L276" s="67"/>
      <c r="M276" s="67"/>
      <c r="N276" s="67"/>
      <c r="O276" s="67"/>
      <c r="P276" s="67"/>
      <c r="Q276" s="67"/>
      <c r="R276" s="67"/>
    </row>
    <row r="277" spans="1:18" s="65" customFormat="1" ht="13.2">
      <c r="A277" s="66"/>
      <c r="C277" s="67"/>
      <c r="D277" s="67"/>
      <c r="E277" s="68"/>
      <c r="F277" s="69"/>
      <c r="G277" s="69"/>
      <c r="H277" s="69"/>
      <c r="I277" s="67"/>
      <c r="K277" s="67"/>
      <c r="L277" s="67"/>
      <c r="M277" s="67"/>
      <c r="N277" s="67"/>
      <c r="O277" s="67"/>
      <c r="P277" s="67"/>
      <c r="Q277" s="67"/>
      <c r="R277" s="67"/>
    </row>
    <row r="278" spans="1:18" s="65" customFormat="1" ht="13.2">
      <c r="A278" s="66"/>
      <c r="C278" s="67"/>
      <c r="D278" s="67"/>
      <c r="E278" s="68"/>
      <c r="F278" s="69"/>
      <c r="G278" s="69"/>
      <c r="H278" s="69"/>
      <c r="I278" s="67"/>
      <c r="K278" s="67"/>
      <c r="L278" s="67"/>
      <c r="M278" s="67"/>
      <c r="N278" s="67"/>
      <c r="O278" s="67"/>
      <c r="P278" s="67"/>
      <c r="Q278" s="67"/>
      <c r="R278" s="67"/>
    </row>
    <row r="279" spans="1:18" s="65" customFormat="1" ht="13.2">
      <c r="A279" s="66"/>
      <c r="C279" s="67"/>
      <c r="D279" s="67"/>
      <c r="E279" s="68"/>
      <c r="F279" s="69"/>
      <c r="G279" s="69"/>
      <c r="H279" s="69"/>
      <c r="I279" s="67"/>
      <c r="K279" s="67"/>
      <c r="L279" s="67"/>
      <c r="M279" s="67"/>
      <c r="N279" s="67"/>
      <c r="O279" s="67"/>
      <c r="P279" s="67"/>
      <c r="Q279" s="67"/>
      <c r="R279" s="67"/>
    </row>
    <row r="280" spans="1:18" s="65" customFormat="1" ht="13.2">
      <c r="A280" s="66"/>
      <c r="C280" s="67"/>
      <c r="D280" s="67"/>
      <c r="E280" s="68"/>
      <c r="F280" s="69"/>
      <c r="G280" s="69"/>
      <c r="H280" s="69"/>
      <c r="I280" s="67"/>
      <c r="K280" s="67"/>
      <c r="L280" s="67"/>
      <c r="M280" s="67"/>
      <c r="N280" s="67"/>
      <c r="O280" s="67"/>
      <c r="P280" s="67"/>
      <c r="Q280" s="67"/>
      <c r="R280" s="67"/>
    </row>
    <row r="281" spans="1:18" s="65" customFormat="1" ht="13.2">
      <c r="A281" s="66"/>
      <c r="C281" s="67"/>
      <c r="D281" s="67"/>
      <c r="E281" s="68"/>
      <c r="F281" s="69"/>
      <c r="G281" s="69"/>
      <c r="H281" s="69"/>
      <c r="I281" s="67"/>
      <c r="K281" s="67"/>
      <c r="L281" s="67"/>
      <c r="M281" s="67"/>
      <c r="N281" s="67"/>
      <c r="O281" s="67"/>
      <c r="P281" s="67"/>
      <c r="Q281" s="67"/>
      <c r="R281" s="67"/>
    </row>
    <row r="282" spans="1:18" s="65" customFormat="1" ht="13.2">
      <c r="A282" s="66"/>
      <c r="C282" s="67"/>
      <c r="D282" s="67"/>
      <c r="E282" s="68"/>
      <c r="F282" s="69"/>
      <c r="G282" s="69"/>
      <c r="H282" s="69"/>
      <c r="I282" s="67"/>
      <c r="K282" s="67"/>
      <c r="L282" s="67"/>
      <c r="M282" s="67"/>
      <c r="N282" s="67"/>
      <c r="O282" s="67"/>
      <c r="P282" s="67"/>
      <c r="Q282" s="67"/>
      <c r="R282" s="67"/>
    </row>
    <row r="283" spans="1:18" s="65" customFormat="1" ht="13.2">
      <c r="A283" s="66"/>
      <c r="C283" s="67"/>
      <c r="D283" s="67"/>
      <c r="E283" s="68"/>
      <c r="F283" s="69"/>
      <c r="G283" s="69"/>
      <c r="H283" s="69"/>
      <c r="I283" s="67"/>
      <c r="K283" s="67"/>
      <c r="L283" s="67"/>
      <c r="M283" s="67"/>
      <c r="N283" s="67"/>
      <c r="O283" s="67"/>
      <c r="P283" s="67"/>
      <c r="Q283" s="67"/>
      <c r="R283" s="67"/>
    </row>
    <row r="284" spans="1:18" s="65" customFormat="1" ht="13.2">
      <c r="A284" s="66"/>
      <c r="C284" s="67"/>
      <c r="D284" s="67"/>
      <c r="E284" s="68"/>
      <c r="F284" s="69"/>
      <c r="G284" s="69"/>
      <c r="H284" s="69"/>
      <c r="I284" s="67"/>
      <c r="K284" s="67"/>
      <c r="L284" s="67"/>
      <c r="M284" s="67"/>
      <c r="N284" s="67"/>
      <c r="O284" s="67"/>
      <c r="P284" s="67"/>
      <c r="Q284" s="67"/>
      <c r="R284" s="67"/>
    </row>
    <row r="285" spans="1:18" s="65" customFormat="1" ht="13.2">
      <c r="A285" s="66"/>
      <c r="C285" s="67"/>
      <c r="D285" s="67"/>
      <c r="E285" s="68"/>
      <c r="F285" s="69"/>
      <c r="G285" s="69"/>
      <c r="H285" s="69"/>
      <c r="I285" s="67"/>
      <c r="K285" s="67"/>
      <c r="L285" s="67"/>
      <c r="M285" s="67"/>
      <c r="N285" s="67"/>
      <c r="O285" s="67"/>
      <c r="P285" s="67"/>
      <c r="Q285" s="67"/>
      <c r="R285" s="67"/>
    </row>
    <row r="286" spans="1:18" s="65" customFormat="1" ht="13.2">
      <c r="A286" s="66"/>
      <c r="C286" s="67"/>
      <c r="D286" s="67"/>
      <c r="E286" s="68"/>
      <c r="F286" s="69"/>
      <c r="G286" s="69"/>
      <c r="H286" s="69"/>
      <c r="I286" s="67"/>
      <c r="K286" s="67"/>
      <c r="L286" s="67"/>
      <c r="M286" s="67"/>
      <c r="N286" s="67"/>
      <c r="O286" s="67"/>
      <c r="P286" s="67"/>
      <c r="Q286" s="67"/>
      <c r="R286" s="67"/>
    </row>
    <row r="287" spans="1:18" s="65" customFormat="1" ht="13.2">
      <c r="A287" s="66"/>
      <c r="C287" s="67"/>
      <c r="D287" s="67"/>
      <c r="E287" s="68"/>
      <c r="F287" s="69"/>
      <c r="G287" s="69"/>
      <c r="H287" s="69"/>
      <c r="I287" s="67"/>
      <c r="K287" s="67"/>
      <c r="L287" s="67"/>
      <c r="M287" s="67"/>
      <c r="N287" s="67"/>
      <c r="O287" s="67"/>
      <c r="P287" s="67"/>
      <c r="Q287" s="67"/>
      <c r="R287" s="67"/>
    </row>
    <row r="288" spans="1:18" s="65" customFormat="1" ht="13.2">
      <c r="A288" s="66"/>
      <c r="C288" s="67"/>
      <c r="D288" s="67"/>
      <c r="E288" s="68"/>
      <c r="F288" s="69"/>
      <c r="G288" s="69"/>
      <c r="H288" s="69"/>
      <c r="I288" s="67"/>
      <c r="K288" s="67"/>
      <c r="L288" s="67"/>
      <c r="M288" s="67"/>
      <c r="N288" s="67"/>
      <c r="O288" s="67"/>
      <c r="P288" s="67"/>
      <c r="Q288" s="67"/>
      <c r="R288" s="67"/>
    </row>
    <row r="289" spans="1:18" s="65" customFormat="1" ht="13.2">
      <c r="A289" s="66"/>
      <c r="C289" s="67"/>
      <c r="D289" s="67"/>
      <c r="E289" s="68"/>
      <c r="F289" s="69"/>
      <c r="G289" s="69"/>
      <c r="H289" s="69"/>
      <c r="I289" s="67"/>
      <c r="K289" s="67"/>
      <c r="L289" s="67"/>
      <c r="M289" s="67"/>
      <c r="N289" s="67"/>
      <c r="O289" s="67"/>
      <c r="P289" s="67"/>
      <c r="Q289" s="67"/>
      <c r="R289" s="67"/>
    </row>
    <row r="290" spans="1:18" s="65" customFormat="1" ht="13.2">
      <c r="A290" s="71"/>
      <c r="C290" s="67"/>
      <c r="D290" s="67"/>
      <c r="E290" s="68"/>
      <c r="F290" s="69"/>
      <c r="G290" s="69"/>
      <c r="H290" s="69"/>
      <c r="I290" s="67"/>
      <c r="K290" s="67"/>
      <c r="L290" s="67"/>
      <c r="M290" s="67"/>
      <c r="N290" s="67"/>
      <c r="O290" s="67"/>
      <c r="P290" s="67"/>
      <c r="Q290" s="67"/>
      <c r="R290" s="67"/>
    </row>
    <row r="291" spans="1:18" s="65" customFormat="1" ht="13.2">
      <c r="A291" s="66"/>
      <c r="C291" s="67"/>
      <c r="D291" s="67"/>
      <c r="E291" s="68"/>
      <c r="F291" s="69"/>
      <c r="G291" s="69"/>
      <c r="H291" s="69"/>
      <c r="I291" s="67"/>
      <c r="K291" s="67"/>
      <c r="L291" s="67"/>
      <c r="M291" s="67"/>
      <c r="N291" s="67"/>
      <c r="O291" s="67"/>
      <c r="P291" s="67"/>
      <c r="Q291" s="67"/>
      <c r="R291" s="67"/>
    </row>
    <row r="292" spans="1:18" s="65" customFormat="1" ht="13.2">
      <c r="A292" s="66"/>
      <c r="C292" s="67"/>
      <c r="D292" s="67"/>
      <c r="E292" s="68"/>
      <c r="F292" s="69"/>
      <c r="G292" s="69"/>
      <c r="H292" s="69"/>
      <c r="I292" s="67"/>
      <c r="K292" s="67"/>
      <c r="L292" s="67"/>
      <c r="M292" s="67"/>
      <c r="N292" s="67"/>
      <c r="O292" s="67"/>
      <c r="P292" s="67"/>
      <c r="Q292" s="67"/>
      <c r="R292" s="67"/>
    </row>
    <row r="293" spans="1:18" s="65" customFormat="1" ht="13.2">
      <c r="A293" s="71"/>
      <c r="C293" s="67"/>
      <c r="D293" s="67"/>
      <c r="E293" s="68"/>
      <c r="F293" s="69"/>
      <c r="G293" s="69"/>
      <c r="H293" s="69"/>
      <c r="I293" s="67"/>
      <c r="K293" s="67"/>
      <c r="L293" s="67"/>
      <c r="M293" s="67"/>
      <c r="N293" s="67"/>
      <c r="O293" s="67"/>
      <c r="P293" s="67"/>
      <c r="Q293" s="67"/>
      <c r="R293" s="67"/>
    </row>
    <row r="294" spans="1:18" s="65" customFormat="1" ht="13.2">
      <c r="A294" s="71"/>
      <c r="C294" s="67"/>
      <c r="D294" s="67"/>
      <c r="E294" s="68"/>
      <c r="F294" s="69"/>
      <c r="G294" s="69"/>
      <c r="H294" s="69"/>
      <c r="I294" s="67"/>
      <c r="K294" s="67"/>
      <c r="L294" s="67"/>
      <c r="M294" s="67"/>
      <c r="N294" s="67"/>
      <c r="O294" s="67"/>
      <c r="P294" s="67"/>
      <c r="Q294" s="67"/>
      <c r="R294" s="67"/>
    </row>
    <row r="295" spans="1:18" s="65" customFormat="1" ht="13.2">
      <c r="A295" s="66"/>
      <c r="C295" s="67"/>
      <c r="D295" s="67"/>
      <c r="E295" s="68"/>
      <c r="F295" s="69"/>
      <c r="G295" s="69"/>
      <c r="H295" s="69"/>
      <c r="I295" s="67"/>
      <c r="K295" s="67"/>
      <c r="L295" s="67"/>
      <c r="M295" s="67"/>
      <c r="N295" s="67"/>
      <c r="O295" s="67"/>
      <c r="P295" s="67"/>
      <c r="Q295" s="67"/>
      <c r="R295" s="67"/>
    </row>
    <row r="296" spans="1:18" s="65" customFormat="1" ht="13.2">
      <c r="A296" s="66"/>
      <c r="C296" s="67"/>
      <c r="D296" s="67"/>
      <c r="E296" s="68"/>
      <c r="F296" s="69"/>
      <c r="G296" s="69"/>
      <c r="H296" s="69"/>
      <c r="I296" s="67"/>
      <c r="K296" s="67"/>
      <c r="L296" s="67"/>
      <c r="M296" s="67"/>
      <c r="N296" s="67"/>
      <c r="O296" s="67"/>
      <c r="P296" s="67"/>
      <c r="Q296" s="67"/>
      <c r="R296" s="67"/>
    </row>
    <row r="297" spans="1:18" s="65" customFormat="1" ht="13.2">
      <c r="A297" s="66"/>
      <c r="C297" s="67"/>
      <c r="D297" s="67"/>
      <c r="E297" s="68"/>
      <c r="F297" s="69"/>
      <c r="G297" s="69"/>
      <c r="H297" s="69"/>
      <c r="I297" s="67"/>
      <c r="K297" s="67"/>
      <c r="L297" s="67"/>
      <c r="M297" s="67"/>
      <c r="N297" s="67"/>
      <c r="O297" s="67"/>
      <c r="P297" s="67"/>
      <c r="Q297" s="67"/>
      <c r="R297" s="67"/>
    </row>
    <row r="298" spans="1:18" s="65" customFormat="1" ht="13.2">
      <c r="A298" s="66"/>
      <c r="C298" s="67"/>
      <c r="D298" s="67"/>
      <c r="E298" s="68"/>
      <c r="F298" s="69"/>
      <c r="G298" s="69"/>
      <c r="H298" s="69"/>
      <c r="I298" s="67"/>
      <c r="K298" s="67"/>
      <c r="L298" s="67"/>
      <c r="M298" s="67"/>
      <c r="N298" s="67"/>
      <c r="O298" s="67"/>
      <c r="P298" s="67"/>
      <c r="Q298" s="67"/>
      <c r="R298" s="67"/>
    </row>
    <row r="299" spans="1:18" s="65" customFormat="1" ht="13.2">
      <c r="A299" s="72"/>
      <c r="C299" s="67"/>
      <c r="D299" s="67"/>
      <c r="E299" s="68"/>
      <c r="F299" s="69"/>
      <c r="G299" s="69"/>
      <c r="H299" s="69"/>
      <c r="I299" s="67"/>
      <c r="K299" s="67"/>
      <c r="L299" s="67"/>
      <c r="M299" s="67"/>
      <c r="N299" s="67"/>
      <c r="O299" s="67"/>
      <c r="P299" s="67"/>
      <c r="Q299" s="67"/>
      <c r="R299" s="67"/>
    </row>
    <row r="300" spans="1:18" s="65" customFormat="1" ht="13.2">
      <c r="A300" s="66"/>
      <c r="C300" s="67"/>
      <c r="D300" s="67"/>
      <c r="E300" s="68"/>
      <c r="F300" s="69"/>
      <c r="G300" s="69"/>
      <c r="H300" s="69"/>
      <c r="I300" s="67"/>
      <c r="K300" s="67"/>
      <c r="L300" s="67"/>
      <c r="M300" s="67"/>
      <c r="N300" s="67"/>
      <c r="O300" s="67"/>
      <c r="P300" s="67"/>
      <c r="Q300" s="67"/>
      <c r="R300" s="67"/>
    </row>
    <row r="301" spans="1:18" s="65" customFormat="1" ht="13.2">
      <c r="A301" s="73"/>
      <c r="C301" s="67"/>
      <c r="D301" s="67"/>
      <c r="E301" s="68"/>
      <c r="F301" s="69"/>
      <c r="G301" s="69"/>
      <c r="H301" s="69"/>
      <c r="I301" s="67"/>
      <c r="K301" s="67"/>
      <c r="L301" s="67"/>
      <c r="M301" s="67"/>
      <c r="N301" s="67"/>
      <c r="O301" s="67"/>
      <c r="P301" s="67"/>
      <c r="Q301" s="67"/>
      <c r="R301" s="67"/>
    </row>
    <row r="302" spans="1:18" s="65" customFormat="1" ht="13.2">
      <c r="A302" s="73"/>
      <c r="C302" s="67"/>
      <c r="D302" s="67"/>
      <c r="E302" s="68"/>
      <c r="F302" s="69"/>
      <c r="G302" s="69"/>
      <c r="H302" s="69"/>
      <c r="I302" s="67"/>
      <c r="K302" s="67"/>
      <c r="L302" s="67"/>
      <c r="M302" s="67"/>
      <c r="N302" s="67"/>
      <c r="O302" s="67"/>
      <c r="P302" s="67"/>
      <c r="Q302" s="67"/>
      <c r="R302" s="67"/>
    </row>
    <row r="303" spans="1:18" s="65" customFormat="1" ht="13.2">
      <c r="A303" s="66"/>
      <c r="C303" s="67"/>
      <c r="D303" s="67"/>
      <c r="E303" s="68"/>
      <c r="F303" s="69"/>
      <c r="G303" s="69"/>
      <c r="H303" s="69"/>
      <c r="I303" s="67"/>
      <c r="K303" s="67"/>
      <c r="L303" s="67"/>
      <c r="M303" s="67"/>
      <c r="N303" s="67"/>
      <c r="O303" s="67"/>
      <c r="P303" s="67"/>
      <c r="Q303" s="67"/>
      <c r="R303" s="67"/>
    </row>
    <row r="304" spans="1:18" s="65" customFormat="1" ht="13.2">
      <c r="A304" s="73"/>
      <c r="C304" s="67"/>
      <c r="D304" s="67"/>
      <c r="E304" s="68"/>
      <c r="F304" s="69"/>
      <c r="G304" s="69"/>
      <c r="H304" s="69"/>
      <c r="I304" s="67"/>
      <c r="K304" s="67"/>
      <c r="L304" s="67"/>
      <c r="M304" s="67"/>
      <c r="N304" s="67"/>
      <c r="O304" s="67"/>
      <c r="P304" s="67"/>
      <c r="Q304" s="67"/>
      <c r="R304" s="67"/>
    </row>
    <row r="305" spans="1:18" s="65" customFormat="1" ht="13.2">
      <c r="A305" s="147"/>
      <c r="C305" s="67"/>
      <c r="D305" s="67"/>
      <c r="E305" s="68"/>
      <c r="F305" s="69"/>
      <c r="G305" s="69"/>
      <c r="H305" s="69"/>
      <c r="I305" s="67"/>
      <c r="K305" s="67"/>
      <c r="L305" s="67"/>
      <c r="M305" s="67"/>
      <c r="N305" s="67"/>
      <c r="O305" s="67"/>
      <c r="P305" s="67"/>
      <c r="Q305" s="67"/>
      <c r="R305" s="67"/>
    </row>
    <row r="306" spans="1:18" s="65" customFormat="1" ht="13.2">
      <c r="A306" s="147"/>
      <c r="C306" s="67"/>
      <c r="D306" s="67"/>
      <c r="E306" s="68"/>
      <c r="F306" s="69"/>
      <c r="G306" s="69"/>
      <c r="H306" s="69"/>
      <c r="I306" s="67"/>
      <c r="K306" s="67"/>
      <c r="L306" s="67"/>
      <c r="M306" s="67"/>
      <c r="N306" s="67"/>
      <c r="O306" s="67"/>
      <c r="P306" s="67"/>
      <c r="Q306" s="67"/>
      <c r="R306" s="67"/>
    </row>
    <row r="307" spans="1:18" s="65" customFormat="1" ht="13.2">
      <c r="A307" s="66"/>
      <c r="C307" s="67"/>
      <c r="D307" s="67"/>
      <c r="E307" s="68"/>
      <c r="F307" s="69"/>
      <c r="G307" s="69"/>
      <c r="H307" s="69"/>
      <c r="I307" s="67"/>
      <c r="K307" s="67"/>
      <c r="L307" s="67"/>
      <c r="M307" s="67"/>
      <c r="N307" s="67"/>
      <c r="O307" s="67"/>
      <c r="P307" s="67"/>
      <c r="Q307" s="67"/>
      <c r="R307" s="67"/>
    </row>
    <row r="308" spans="1:18" s="65" customFormat="1" ht="13.2">
      <c r="A308" s="148"/>
      <c r="C308" s="67"/>
      <c r="D308" s="67"/>
      <c r="E308" s="68"/>
      <c r="F308" s="69"/>
      <c r="G308" s="69"/>
      <c r="H308" s="69"/>
      <c r="I308" s="67"/>
      <c r="K308" s="67"/>
      <c r="L308" s="67"/>
      <c r="M308" s="67"/>
      <c r="N308" s="67"/>
      <c r="O308" s="67"/>
      <c r="P308" s="67"/>
      <c r="Q308" s="67"/>
      <c r="R308" s="67"/>
    </row>
    <row r="309" spans="1:18" s="65" customFormat="1" ht="13.2">
      <c r="A309" s="148"/>
      <c r="C309" s="67"/>
      <c r="D309" s="67"/>
      <c r="E309" s="68"/>
      <c r="F309" s="69"/>
      <c r="G309" s="69"/>
      <c r="H309" s="69"/>
      <c r="I309" s="67"/>
      <c r="K309" s="67"/>
      <c r="L309" s="67"/>
      <c r="M309" s="67"/>
      <c r="N309" s="67"/>
      <c r="O309" s="67"/>
      <c r="P309" s="67"/>
      <c r="Q309" s="67"/>
      <c r="R309" s="67"/>
    </row>
    <row r="310" spans="1:18" s="65" customFormat="1" ht="13.2">
      <c r="A310" s="71"/>
      <c r="C310" s="67"/>
      <c r="D310" s="67"/>
      <c r="E310" s="68"/>
      <c r="F310" s="69"/>
      <c r="G310" s="69"/>
      <c r="H310" s="69"/>
      <c r="I310" s="67"/>
      <c r="K310" s="67"/>
      <c r="L310" s="67"/>
      <c r="M310" s="67"/>
      <c r="N310" s="67"/>
      <c r="O310" s="67"/>
      <c r="P310" s="67"/>
      <c r="Q310" s="67"/>
      <c r="R310" s="67"/>
    </row>
    <row r="311" spans="1:18" s="65" customFormat="1" ht="13.2">
      <c r="A311" s="72"/>
      <c r="C311" s="67"/>
      <c r="D311" s="67"/>
      <c r="E311" s="68"/>
      <c r="F311" s="69"/>
      <c r="G311" s="69"/>
      <c r="H311" s="69"/>
      <c r="I311" s="67"/>
      <c r="K311" s="67"/>
      <c r="L311" s="67"/>
      <c r="M311" s="67"/>
      <c r="N311" s="67"/>
      <c r="O311" s="67"/>
      <c r="P311" s="67"/>
      <c r="Q311" s="67"/>
      <c r="R311" s="67"/>
    </row>
    <row r="312" spans="1:18" s="65" customFormat="1" ht="13.2">
      <c r="A312" s="66"/>
      <c r="C312" s="67"/>
      <c r="D312" s="67"/>
      <c r="E312" s="68"/>
      <c r="F312" s="69"/>
      <c r="G312" s="69"/>
      <c r="H312" s="69"/>
      <c r="I312" s="67"/>
      <c r="K312" s="67"/>
      <c r="L312" s="67"/>
      <c r="M312" s="67"/>
      <c r="N312" s="67"/>
      <c r="O312" s="67"/>
      <c r="P312" s="67"/>
      <c r="Q312" s="67"/>
      <c r="R312" s="67"/>
    </row>
    <row r="313" spans="1:18" s="65" customFormat="1" ht="13.2">
      <c r="A313" s="73"/>
      <c r="C313" s="67"/>
      <c r="D313" s="67"/>
      <c r="E313" s="68"/>
      <c r="F313" s="69"/>
      <c r="G313" s="69"/>
      <c r="H313" s="69"/>
      <c r="I313" s="67"/>
      <c r="K313" s="67"/>
      <c r="L313" s="67"/>
      <c r="M313" s="67"/>
      <c r="N313" s="67"/>
      <c r="O313" s="67"/>
      <c r="P313" s="67"/>
      <c r="Q313" s="67"/>
      <c r="R313" s="67"/>
    </row>
    <row r="314" spans="1:18" s="65" customFormat="1" ht="13.2">
      <c r="A314" s="73"/>
      <c r="C314" s="67"/>
      <c r="D314" s="67"/>
      <c r="E314" s="68"/>
      <c r="F314" s="69"/>
      <c r="G314" s="69"/>
      <c r="H314" s="69"/>
      <c r="I314" s="67"/>
      <c r="K314" s="67"/>
      <c r="L314" s="67"/>
      <c r="M314" s="67"/>
      <c r="N314" s="67"/>
      <c r="O314" s="67"/>
      <c r="P314" s="67"/>
      <c r="Q314" s="67"/>
      <c r="R314" s="67"/>
    </row>
    <row r="315" spans="1:18" s="65" customFormat="1" ht="13.2">
      <c r="A315" s="66"/>
      <c r="C315" s="67"/>
      <c r="D315" s="67"/>
      <c r="E315" s="68"/>
      <c r="F315" s="69"/>
      <c r="G315" s="69"/>
      <c r="H315" s="69"/>
      <c r="I315" s="67"/>
      <c r="K315" s="67"/>
      <c r="L315" s="67"/>
      <c r="M315" s="67"/>
      <c r="N315" s="67"/>
      <c r="O315" s="67"/>
      <c r="P315" s="67"/>
      <c r="Q315" s="67"/>
      <c r="R315" s="67"/>
    </row>
    <row r="316" spans="1:18" s="65" customFormat="1" ht="13.2">
      <c r="A316" s="66"/>
      <c r="C316" s="67"/>
      <c r="D316" s="67"/>
      <c r="E316" s="68"/>
      <c r="F316" s="69"/>
      <c r="G316" s="69"/>
      <c r="H316" s="69"/>
      <c r="I316" s="67"/>
      <c r="K316" s="67"/>
      <c r="L316" s="67"/>
      <c r="M316" s="67"/>
      <c r="N316" s="67"/>
      <c r="O316" s="67"/>
      <c r="P316" s="67"/>
      <c r="Q316" s="67"/>
      <c r="R316" s="67"/>
    </row>
    <row r="317" spans="1:18" s="65" customFormat="1" ht="13.2">
      <c r="A317" s="66"/>
      <c r="C317" s="67"/>
      <c r="D317" s="67"/>
      <c r="E317" s="68"/>
      <c r="F317" s="69"/>
      <c r="G317" s="69"/>
      <c r="H317" s="69"/>
      <c r="I317" s="67"/>
      <c r="K317" s="67"/>
      <c r="L317" s="67"/>
      <c r="M317" s="67"/>
      <c r="N317" s="67"/>
      <c r="O317" s="67"/>
      <c r="P317" s="67"/>
      <c r="Q317" s="67"/>
      <c r="R317" s="67"/>
    </row>
    <row r="318" spans="1:18" s="65" customFormat="1" ht="13.2">
      <c r="A318" s="148"/>
      <c r="C318" s="67"/>
      <c r="D318" s="67"/>
      <c r="E318" s="68"/>
      <c r="F318" s="69"/>
      <c r="G318" s="69"/>
      <c r="H318" s="69"/>
      <c r="I318" s="67"/>
      <c r="K318" s="67"/>
      <c r="L318" s="67"/>
      <c r="M318" s="67"/>
      <c r="N318" s="67"/>
      <c r="O318" s="67"/>
      <c r="P318" s="67"/>
      <c r="Q318" s="67"/>
      <c r="R318" s="67"/>
    </row>
    <row r="319" spans="1:18" s="65" customFormat="1" ht="13.2">
      <c r="A319" s="149"/>
      <c r="C319" s="67"/>
      <c r="D319" s="67"/>
      <c r="E319" s="68"/>
      <c r="F319" s="69"/>
      <c r="G319" s="69"/>
      <c r="H319" s="69"/>
      <c r="I319" s="67"/>
      <c r="K319" s="67"/>
      <c r="L319" s="67"/>
      <c r="M319" s="67"/>
      <c r="N319" s="67"/>
      <c r="O319" s="67"/>
      <c r="P319" s="67"/>
      <c r="Q319" s="67"/>
      <c r="R319" s="67"/>
    </row>
    <row r="320" spans="1:18" s="65" customFormat="1" ht="13.2">
      <c r="A320" s="149"/>
      <c r="C320" s="67"/>
      <c r="D320" s="67"/>
      <c r="E320" s="68"/>
      <c r="F320" s="69"/>
      <c r="G320" s="69"/>
      <c r="H320" s="69"/>
      <c r="I320" s="67"/>
      <c r="K320" s="67"/>
      <c r="L320" s="67"/>
      <c r="M320" s="67"/>
      <c r="N320" s="67"/>
      <c r="O320" s="67"/>
      <c r="P320" s="67"/>
      <c r="Q320" s="67"/>
      <c r="R320" s="67"/>
    </row>
    <row r="321" spans="1:18" s="65" customFormat="1" ht="13.2">
      <c r="A321" s="148"/>
      <c r="C321" s="67"/>
      <c r="D321" s="67"/>
      <c r="E321" s="68"/>
      <c r="F321" s="69"/>
      <c r="G321" s="69"/>
      <c r="H321" s="69"/>
      <c r="I321" s="67"/>
      <c r="K321" s="67"/>
      <c r="L321" s="67"/>
      <c r="M321" s="67"/>
      <c r="N321" s="67"/>
      <c r="O321" s="67"/>
      <c r="P321" s="67"/>
      <c r="Q321" s="67"/>
      <c r="R321" s="67"/>
    </row>
    <row r="322" spans="1:18" ht="13.2">
      <c r="A322" s="149"/>
    </row>
    <row r="323" spans="1:18" ht="13.2">
      <c r="A323" s="149"/>
    </row>
  </sheetData>
  <pageMargins left="0.7" right="0.7" top="0.75" bottom="0.75" header="0.3" footer="0.3"/>
  <pageSetup fitToHeight="4" pageOrder="overThenDown" orientation="portrait" r:id="rId1"/>
  <headerFooter>
    <oddFooter xml:space="preserve">&amp;L&amp;F - &amp;A
&amp;R&amp;P of &amp;N
</oddFooter>
  </headerFooter>
  <rowBreaks count="3" manualBreakCount="3">
    <brk id="65" max="9" man="1"/>
    <brk id="125" max="9" man="1"/>
    <brk id="175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opLeftCell="A27" zoomScaleNormal="100" zoomScaleSheetLayoutView="85" workbookViewId="0">
      <selection activeCell="K25" sqref="K25"/>
    </sheetView>
  </sheetViews>
  <sheetFormatPr defaultRowHeight="14.4"/>
  <cols>
    <col min="3" max="3" width="31.109375" customWidth="1"/>
    <col min="4" max="4" width="13.88671875" customWidth="1"/>
    <col min="5" max="5" width="20.88671875" customWidth="1"/>
    <col min="6" max="6" width="16.33203125" customWidth="1"/>
    <col min="7" max="7" width="13.44140625" customWidth="1"/>
    <col min="8" max="8" width="38.109375" bestFit="1" customWidth="1"/>
    <col min="9" max="9" width="15.33203125" bestFit="1" customWidth="1"/>
    <col min="10" max="10" width="11.88671875" customWidth="1"/>
    <col min="12" max="13" width="15.33203125" bestFit="1" customWidth="1"/>
    <col min="14" max="14" width="13.44140625" bestFit="1" customWidth="1"/>
  </cols>
  <sheetData>
    <row r="1" spans="1:12" ht="15" thickBot="1">
      <c r="A1" s="157" t="s">
        <v>385</v>
      </c>
    </row>
    <row r="2" spans="1:12" ht="15" thickBot="1">
      <c r="A2" s="157" t="s">
        <v>386</v>
      </c>
      <c r="D2" s="216" t="s">
        <v>399</v>
      </c>
      <c r="E2" s="217"/>
      <c r="F2" s="217"/>
      <c r="G2" s="217"/>
      <c r="H2" s="217"/>
      <c r="I2" s="218"/>
    </row>
    <row r="3" spans="1:12">
      <c r="A3" s="157" t="s">
        <v>387</v>
      </c>
    </row>
    <row r="4" spans="1:12">
      <c r="A4" s="157"/>
    </row>
    <row r="5" spans="1:12">
      <c r="A5" s="283" t="s">
        <v>388</v>
      </c>
      <c r="B5" s="283"/>
      <c r="C5" s="283"/>
      <c r="D5" s="283"/>
      <c r="E5" s="283"/>
      <c r="F5" s="283"/>
      <c r="G5" s="283"/>
      <c r="H5" s="283"/>
    </row>
    <row r="6" spans="1:12">
      <c r="A6" s="283"/>
      <c r="B6" s="283"/>
      <c r="C6" s="283"/>
      <c r="D6" s="283"/>
      <c r="E6" s="283"/>
      <c r="F6" s="283"/>
      <c r="G6" s="283"/>
      <c r="H6" s="283"/>
    </row>
    <row r="7" spans="1:12">
      <c r="A7" s="283"/>
      <c r="B7" s="283"/>
      <c r="C7" s="283"/>
      <c r="D7" s="283"/>
      <c r="E7" s="283"/>
      <c r="F7" s="283"/>
      <c r="G7" s="283"/>
      <c r="H7" s="283"/>
    </row>
    <row r="8" spans="1:12">
      <c r="A8" s="157"/>
    </row>
    <row r="9" spans="1:12" ht="15" thickBot="1"/>
    <row r="10" spans="1:12">
      <c r="C10" s="280" t="s">
        <v>389</v>
      </c>
      <c r="D10" s="281"/>
      <c r="E10" s="281"/>
      <c r="F10" s="282"/>
      <c r="H10" s="280" t="s">
        <v>390</v>
      </c>
      <c r="I10" s="281"/>
      <c r="J10" s="282"/>
    </row>
    <row r="11" spans="1:12">
      <c r="C11" s="158"/>
      <c r="D11" s="159" t="s">
        <v>279</v>
      </c>
      <c r="E11" s="159" t="s">
        <v>280</v>
      </c>
      <c r="F11" s="160"/>
      <c r="H11" s="158" t="s">
        <v>281</v>
      </c>
      <c r="I11" s="161">
        <f>+'[16]Master IS (C)'!E150</f>
        <v>25898341</v>
      </c>
      <c r="J11" s="160"/>
    </row>
    <row r="12" spans="1:12">
      <c r="C12" s="162" t="s">
        <v>282</v>
      </c>
      <c r="D12" s="163">
        <f>+'[34]Waste Works Breakdown'!D4</f>
        <v>92024.240000000034</v>
      </c>
      <c r="E12" s="164">
        <f>+'[34]Waste Works Breakdown'!E4</f>
        <v>8234515.3400000026</v>
      </c>
      <c r="F12" s="165">
        <f>E12/D12</f>
        <v>89.482024953425309</v>
      </c>
      <c r="H12" s="158"/>
      <c r="I12" s="161"/>
      <c r="J12" s="160"/>
    </row>
    <row r="13" spans="1:12">
      <c r="C13" s="162" t="s">
        <v>283</v>
      </c>
      <c r="D13" s="163">
        <f>+'[34]Waste Works Breakdown'!D5</f>
        <v>0</v>
      </c>
      <c r="E13" s="164">
        <f>+'[34]Waste Works Breakdown'!E5</f>
        <v>7.1054273576010019E-15</v>
      </c>
      <c r="F13" s="160"/>
      <c r="H13" s="158" t="s">
        <v>284</v>
      </c>
      <c r="I13" s="161">
        <f>+E32</f>
        <v>8234515.3400000026</v>
      </c>
      <c r="J13" s="166"/>
    </row>
    <row r="14" spans="1:12">
      <c r="C14" s="162" t="s">
        <v>285</v>
      </c>
      <c r="D14" s="163">
        <f>+'[34]Waste Works Breakdown'!D6</f>
        <v>1957.53</v>
      </c>
      <c r="E14" s="164">
        <f>+'[34]Waste Works Breakdown'!E6</f>
        <v>70422.400000000009</v>
      </c>
      <c r="F14" s="165">
        <f>E14/D14</f>
        <v>35.975131926458346</v>
      </c>
      <c r="H14" s="158" t="s">
        <v>286</v>
      </c>
      <c r="I14" s="161">
        <f>+E33</f>
        <v>16362444.449999999</v>
      </c>
      <c r="J14" s="166"/>
      <c r="L14" s="167"/>
    </row>
    <row r="15" spans="1:12" ht="15" thickBot="1">
      <c r="C15" s="162"/>
      <c r="D15" s="168">
        <f>SUM(D12:D14)</f>
        <v>93981.770000000033</v>
      </c>
      <c r="E15" s="169">
        <f>SUM(E12:E14)</f>
        <v>8304937.740000003</v>
      </c>
      <c r="F15" s="160"/>
      <c r="H15" s="158" t="s">
        <v>287</v>
      </c>
      <c r="I15" s="170">
        <f>+E34</f>
        <v>1298721.94</v>
      </c>
      <c r="J15" s="166"/>
    </row>
    <row r="16" spans="1:12" ht="15.6" thickTop="1" thickBot="1">
      <c r="C16" s="158"/>
      <c r="D16" s="171"/>
      <c r="E16" s="161"/>
      <c r="F16" s="160"/>
      <c r="H16" s="158"/>
      <c r="I16" s="172">
        <f>SUM(I13:I15)</f>
        <v>25895681.730000004</v>
      </c>
      <c r="J16" s="160"/>
      <c r="L16" s="167"/>
    </row>
    <row r="17" spans="3:14" ht="15" thickTop="1">
      <c r="C17" s="158" t="s">
        <v>288</v>
      </c>
      <c r="D17" s="171">
        <f>+'[34]Waste Works Breakdown'!D9</f>
        <v>93981.770000000019</v>
      </c>
      <c r="E17" s="161">
        <f>+'[34]Waste Works Breakdown'!E9</f>
        <v>8304937.7400000049</v>
      </c>
      <c r="F17" s="160"/>
      <c r="H17" s="158" t="s">
        <v>290</v>
      </c>
      <c r="I17" s="161">
        <f>+I16-I11</f>
        <v>-2659.2699999958277</v>
      </c>
      <c r="J17" s="160"/>
      <c r="M17" s="173"/>
      <c r="N17" s="167"/>
    </row>
    <row r="18" spans="3:14">
      <c r="C18" s="158" t="s">
        <v>289</v>
      </c>
      <c r="D18" s="171">
        <f>+D17-D15</f>
        <v>0</v>
      </c>
      <c r="E18" s="171">
        <f>+E17-E15</f>
        <v>0</v>
      </c>
      <c r="F18" s="160"/>
      <c r="H18" s="174"/>
      <c r="I18" s="175">
        <f>I17/I16</f>
        <v>-1.0269163900462517E-4</v>
      </c>
      <c r="J18" s="176" t="s">
        <v>391</v>
      </c>
      <c r="M18" s="173"/>
      <c r="N18" s="167"/>
    </row>
    <row r="19" spans="3:14" ht="15" thickBot="1">
      <c r="C19" s="158"/>
      <c r="D19" s="171"/>
      <c r="E19" s="161"/>
      <c r="F19" s="160"/>
      <c r="H19" s="177"/>
      <c r="I19" s="178"/>
      <c r="J19" s="179"/>
      <c r="M19" s="173"/>
    </row>
    <row r="20" spans="3:14">
      <c r="C20" s="158"/>
      <c r="D20" s="171"/>
      <c r="E20" s="161"/>
      <c r="F20" s="160"/>
      <c r="H20" s="180"/>
      <c r="M20" s="167"/>
    </row>
    <row r="21" spans="3:14" ht="15" thickBot="1">
      <c r="C21" s="181" t="s">
        <v>374</v>
      </c>
      <c r="D21" s="182">
        <f>+'[34]Waste Works Breakdown'!D13</f>
        <v>165572.63</v>
      </c>
      <c r="E21" s="183">
        <f>+'[34]Waste Works Breakdown'!E13</f>
        <v>16362444.449999999</v>
      </c>
      <c r="F21" s="165">
        <f>E21/D21</f>
        <v>98.823365009059756</v>
      </c>
      <c r="K21" s="184"/>
    </row>
    <row r="22" spans="3:14">
      <c r="C22" s="181" t="s">
        <v>375</v>
      </c>
      <c r="D22" s="182">
        <f>+'[34]Waste Works Breakdown'!D14</f>
        <v>1132.8400000000001</v>
      </c>
      <c r="E22" s="183">
        <f>+'[34]Waste Works Breakdown'!E14</f>
        <v>96854.049999999988</v>
      </c>
      <c r="F22" s="165">
        <f>E22/D22</f>
        <v>85.496672080788088</v>
      </c>
      <c r="H22" s="280" t="s">
        <v>392</v>
      </c>
      <c r="I22" s="281"/>
      <c r="J22" s="282"/>
    </row>
    <row r="23" spans="3:14">
      <c r="C23" s="181" t="s">
        <v>373</v>
      </c>
      <c r="D23" s="182">
        <f>+'[34]Waste Works Breakdown'!D15</f>
        <v>12461.58</v>
      </c>
      <c r="E23" s="183">
        <f>+'[34]Waste Works Breakdown'!E15</f>
        <v>1055328.44</v>
      </c>
      <c r="F23" s="165">
        <f>E23/D23</f>
        <v>84.686567834897332</v>
      </c>
      <c r="H23" s="185" t="s">
        <v>292</v>
      </c>
      <c r="I23" s="167">
        <f>+'[16]Master IS (C)'!E29</f>
        <v>8455261.0300000012</v>
      </c>
      <c r="J23" s="160"/>
    </row>
    <row r="24" spans="3:14">
      <c r="C24" s="181" t="s">
        <v>291</v>
      </c>
      <c r="D24" s="182">
        <f>+'[34]Waste Works Breakdown'!D16</f>
        <v>2207.77</v>
      </c>
      <c r="E24" s="183">
        <f>+'[34]Waste Works Breakdown'!E16</f>
        <v>76117.049999999988</v>
      </c>
      <c r="F24" s="165">
        <f>E24/D24</f>
        <v>34.476892973452848</v>
      </c>
      <c r="H24" s="185" t="s">
        <v>293</v>
      </c>
      <c r="I24" s="167">
        <f>+E15</f>
        <v>8304937.740000003</v>
      </c>
      <c r="J24" s="160"/>
    </row>
    <row r="25" spans="3:14" ht="15" thickBot="1">
      <c r="C25" s="181"/>
      <c r="D25" s="186">
        <f>SUM(D21:D24)</f>
        <v>181374.81999999998</v>
      </c>
      <c r="E25" s="187">
        <f>SUM(E21:E24)</f>
        <v>17590743.990000002</v>
      </c>
      <c r="F25" s="160"/>
      <c r="H25" s="185" t="s">
        <v>294</v>
      </c>
      <c r="I25" s="167">
        <f>+I23-I24</f>
        <v>150323.28999999817</v>
      </c>
      <c r="J25" s="160"/>
    </row>
    <row r="26" spans="3:14" ht="15.6" thickTop="1" thickBot="1">
      <c r="C26" s="158"/>
      <c r="D26" s="171"/>
      <c r="E26" s="161"/>
      <c r="F26" s="160"/>
      <c r="H26" s="188"/>
      <c r="I26" s="189"/>
      <c r="J26" s="179"/>
    </row>
    <row r="27" spans="3:14">
      <c r="C27" s="158" t="s">
        <v>295</v>
      </c>
      <c r="D27" s="171">
        <f>+'[34]Waste Works Breakdown'!$D$19</f>
        <v>181374.82</v>
      </c>
      <c r="E27" s="161">
        <f>+'[34]Waste Works Breakdown'!$E$19</f>
        <v>17590743.989999998</v>
      </c>
      <c r="F27" s="160"/>
    </row>
    <row r="28" spans="3:14" ht="15" thickBot="1">
      <c r="C28" s="188" t="s">
        <v>289</v>
      </c>
      <c r="D28" s="190">
        <f>+D27-D25</f>
        <v>0</v>
      </c>
      <c r="E28" s="190">
        <f>+E27-E25</f>
        <v>0</v>
      </c>
      <c r="F28" s="179"/>
    </row>
    <row r="29" spans="3:14" ht="15" thickBot="1">
      <c r="D29" s="191"/>
      <c r="E29" s="173"/>
    </row>
    <row r="30" spans="3:14">
      <c r="C30" s="280" t="s">
        <v>386</v>
      </c>
      <c r="D30" s="281"/>
      <c r="E30" s="282"/>
    </row>
    <row r="31" spans="3:14">
      <c r="C31" s="158"/>
      <c r="D31" s="159" t="s">
        <v>279</v>
      </c>
      <c r="E31" s="192" t="s">
        <v>280</v>
      </c>
    </row>
    <row r="32" spans="3:14">
      <c r="C32" s="158" t="s">
        <v>393</v>
      </c>
      <c r="D32" s="171">
        <f>+D12</f>
        <v>92024.240000000034</v>
      </c>
      <c r="E32" s="165">
        <f>+E12</f>
        <v>8234515.3400000026</v>
      </c>
      <c r="G32" s="193"/>
    </row>
    <row r="33" spans="3:7">
      <c r="C33" s="158" t="s">
        <v>374</v>
      </c>
      <c r="D33" s="171">
        <f>+D21</f>
        <v>165572.63</v>
      </c>
      <c r="E33" s="165">
        <f>+E21</f>
        <v>16362444.449999999</v>
      </c>
      <c r="G33" s="193"/>
    </row>
    <row r="34" spans="3:7" ht="28.8">
      <c r="C34" s="194" t="s">
        <v>394</v>
      </c>
      <c r="D34" s="171">
        <f>+D13+D14+D22+D24+D23</f>
        <v>17759.72</v>
      </c>
      <c r="E34" s="165">
        <f>+E13+E14+E22+E24+E23</f>
        <v>1298721.94</v>
      </c>
    </row>
    <row r="35" spans="3:7" ht="15" thickBot="1">
      <c r="C35" s="158"/>
      <c r="D35" s="195">
        <f>SUM(D32:D34)</f>
        <v>275356.59000000008</v>
      </c>
      <c r="E35" s="196">
        <f>SUM(E32:E34)</f>
        <v>25895681.730000004</v>
      </c>
    </row>
    <row r="36" spans="3:7" ht="15.6" thickTop="1" thickBot="1">
      <c r="C36" s="188"/>
      <c r="D36" s="190"/>
      <c r="E36" s="197"/>
    </row>
    <row r="37" spans="3:7">
      <c r="D37" s="191"/>
      <c r="E37" s="173"/>
    </row>
    <row r="38" spans="3:7" ht="15" thickBot="1">
      <c r="D38" s="191"/>
      <c r="E38" s="173"/>
    </row>
    <row r="39" spans="3:7">
      <c r="C39" s="280" t="s">
        <v>395</v>
      </c>
      <c r="D39" s="281"/>
      <c r="E39" s="282"/>
    </row>
    <row r="40" spans="3:7">
      <c r="C40" s="185"/>
      <c r="D40" s="167"/>
      <c r="E40" s="160"/>
    </row>
    <row r="41" spans="3:7">
      <c r="C41" s="185" t="s">
        <v>396</v>
      </c>
      <c r="D41" s="198">
        <f>[35]Regulated!$D$134</f>
        <v>0.50161311277447396</v>
      </c>
      <c r="E41" s="160"/>
    </row>
    <row r="42" spans="3:7">
      <c r="C42" s="185" t="s">
        <v>237</v>
      </c>
      <c r="D42" s="198">
        <f>[35]Regulated!$D$135</f>
        <v>0.49838688722552604</v>
      </c>
      <c r="E42" s="160"/>
    </row>
    <row r="43" spans="3:7" ht="15" thickBot="1">
      <c r="C43" s="188"/>
      <c r="D43" s="199">
        <f>SUM(D41:D42)</f>
        <v>1</v>
      </c>
      <c r="E43" s="179"/>
    </row>
  </sheetData>
  <mergeCells count="6">
    <mergeCell ref="C39:E39"/>
    <mergeCell ref="A5:H7"/>
    <mergeCell ref="C10:F10"/>
    <mergeCell ref="H10:J10"/>
    <mergeCell ref="H22:J22"/>
    <mergeCell ref="C30:E30"/>
  </mergeCells>
  <pageMargins left="0.7" right="0.7" top="0.75" bottom="0.75" header="0.3" footer="0.3"/>
  <pageSetup scale="68" fitToHeight="3" orientation="landscape" r:id="rId1"/>
  <headerFooter>
    <oddFooter>&amp;R&amp;F - &amp;A -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2023-11-16T08:00:00+00:00</OpenedDate>
    <SignificantOrder xmlns="dc463f71-b30c-4ab2-9473-d307f9d35888">false</SignificantOrder>
    <Date1 xmlns="dc463f71-b30c-4ab2-9473-d307f9d35888">2023-12-08T08:00:00+00:00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Connections of Washington, Inc.</CaseCompanyNames>
    <Nickname xmlns="http://schemas.microsoft.com/sharepoint/v3" xsi:nil="true"/>
    <DocketNumber xmlns="dc463f71-b30c-4ab2-9473-d307f9d35888">230960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58935D773B424AA91A11CE73C763DD" ma:contentTypeVersion="24" ma:contentTypeDescription="" ma:contentTypeScope="" ma:versionID="7e0c4e1de22af193fcfff281ef390cf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CF9FA5-BF0D-45C6-8CA0-A42575E1F3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1130AB-FCCD-4D20-BC9F-727120A54C7A}"/>
</file>

<file path=customXml/itemProps3.xml><?xml version="1.0" encoding="utf-8"?>
<ds:datastoreItem xmlns:ds="http://schemas.openxmlformats.org/officeDocument/2006/customXml" ds:itemID="{BB72FD09-7086-4088-BAF6-4EE8BA7149BD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0F7CC71E-F417-4C66-BC57-DA75F62E8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References</vt:lpstr>
      <vt:lpstr>Regulated DF Calc</vt:lpstr>
      <vt:lpstr>Proposed Rates</vt:lpstr>
      <vt:lpstr>Disposal</vt:lpstr>
      <vt:lpstr>'Proposed Rates'!Print_Area</vt:lpstr>
      <vt:lpstr>References!Print_Area</vt:lpstr>
      <vt:lpstr>'Regulated DF Calc'!Print_Area</vt:lpstr>
      <vt:lpstr>'Proposed Rates'!Print_Titles</vt:lpstr>
      <vt:lpstr>'Regulated DF Calc'!Print_Titles</vt:lpstr>
    </vt:vector>
  </TitlesOfParts>
  <Company>R360 Environmental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Waldram</dc:creator>
  <cp:lastModifiedBy>Brian Vandenburg</cp:lastModifiedBy>
  <cp:lastPrinted>2023-11-16T20:16:21Z</cp:lastPrinted>
  <dcterms:created xsi:type="dcterms:W3CDTF">2017-11-03T16:52:48Z</dcterms:created>
  <dcterms:modified xsi:type="dcterms:W3CDTF">2023-12-04T20:30:10Z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0x0101006E56B4D1795A2E4DB2F0B01679ED314A006758935D773B424AA91A11CE73C763DD</vt:lpwstr>
  </property>
  <property fmtid="{D5CDD505-2E9C-101B-9397-08002B2CF9AE}" pid="3" name="_docset_NoMedatataSyncRequired">
    <vt:lpwstr>False</vt:lpwstr>
  </property>
</Properties>
</file>